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Read Me" sheetId="2" state="visible" r:id="rId4"/>
    <sheet name="Requirements" sheetId="3" state="visible" r:id="rId5"/>
    <sheet name="Board Questions" sheetId="4" state="visible" r:id="rId6"/>
    <sheet name="Summary" sheetId="5" state="visible" r:id="rId7"/>
  </sheets>
  <definedNames>
    <definedName function="false" hidden="false" localSheetId="3" name="_xlnm.Print_Titles" vbProcedure="false">'Board Questions'!$1:$1</definedName>
    <definedName function="false" hidden="true" localSheetId="3" name="_xlnm._FilterDatabase" vbProcedure="false">'Board Questions'!$A$1:$G$61</definedName>
    <definedName function="false" hidden="false" localSheetId="0" name="_xlnm.Print_Area" vbProcedure="false">Cover!$A$1:$D$33</definedName>
    <definedName function="false" hidden="false" localSheetId="2" name="_xlnm.Print_Titles" vbProcedure="false">Requirements!$1:$1</definedName>
    <definedName function="false" hidden="true" localSheetId="2" name="_xlnm._FilterDatabase" vbProcedure="false">Requirements!$A$1:$L$147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<sst xmlns="http://schemas.openxmlformats.org/spreadsheetml/2006/main" count="1288" uniqueCount="685">
  <si>
    <t xml:space="preserve">ROOTGUARD</t>
  </si>
  <si>
    <t xml:space="preserve">SECURITY</t>
  </si>
  <si>
    <t xml:space="preserve">BOJ Cyber Risk Self-Assessment</t>
  </si>
  <si>
    <t xml:space="preserve">Every requirement in the Bank of Jamaica's cyber risk standard, and the evidence that would show it is met.</t>
  </si>
  <si>
    <t xml:space="preserve">DOCUMENT CONTROL</t>
  </si>
  <si>
    <t xml:space="preserve">Document ID</t>
  </si>
  <si>
    <t xml:space="preserve">FRM-BOJ-001</t>
  </si>
  <si>
    <t xml:space="preserve">Version</t>
  </si>
  <si>
    <t xml:space="preserve">1.0</t>
  </si>
  <si>
    <t xml:space="preserve">Classification</t>
  </si>
  <si>
    <t xml:space="preserve">Public. Free to use and to share.</t>
  </si>
  <si>
    <t xml:space="preserve">Owner</t>
  </si>
  <si>
    <t xml:space="preserve">RootGuard Security</t>
  </si>
  <si>
    <t xml:space="preserve">Your copy</t>
  </si>
  <si>
    <t xml:space="preserve">Yours to keep. Nothing is sent anywhere.</t>
  </si>
  <si>
    <t xml:space="preserve">WHAT THIS IS</t>
  </si>
  <si>
    <t xml:space="preserve">A self-assessment against Standard of Sound Practice: Management of Cyber Risks issued by the Bank of Jamaica. Every requirement in the document is a row, with who it falls on, the evidence that would show it is met, and a status for you to set. The regulator's own board oversight questions are on a separate sheet for the board to answer.</t>
  </si>
  <si>
    <t xml:space="preserve">WHAT IT IS NOT</t>
  </si>
  <si>
    <t xml:space="preserve">Not the regulator's text and not legal advice. Each requirement is restated in plain words and cites the paragraph it comes from; where the wording matters, the regulator's document governs. Completing it records what you believe; the evidence column is what makes it true.</t>
  </si>
  <si>
    <t xml:space="preserve">HOW TO USE IT</t>
  </si>
  <si>
    <t xml:space="preserve">1.</t>
  </si>
  <si>
    <t xml:space="preserve">Read the regulator's document first: https://boj.org.jm/wp-content/uploads/2024/09/Standard-of-Sound-Practice-Management-of-Cyber-Risks.pdf</t>
  </si>
  <si>
    <t xml:space="preserve">2.</t>
  </si>
  <si>
    <t xml:space="preserve">Work through the Requirements sheet with whoever owns each area. Set Status only when the evidence named in the row exists.</t>
  </si>
  <si>
    <t xml:space="preserve">3.</t>
  </si>
  <si>
    <t xml:space="preserve">Give the Board Questions sheet to the board or its committee to answer for itself, before management sees the answers.</t>
  </si>
  <si>
    <t xml:space="preserve">4.</t>
  </si>
  <si>
    <t xml:space="preserve">Use the Summary sheet to see where Must requirements are not met. Those are the gaps a supervisor raises first.</t>
  </si>
  <si>
    <t xml:space="preserve">5.</t>
  </si>
  <si>
    <t xml:space="preserve">Repeat at planned intervals, and not less than annually, and before each annual attestation.</t>
  </si>
  <si>
    <t xml:space="preserve">IF YOU WANT THIS CHECKED</t>
  </si>
  <si>
    <t xml:space="preserve">This tells you where you believe you stand against the Bank of Jamaica's expectations. A board session works through the answers with your board, and an assessment establishes whether the evidence holds. Send us a completed copy.</t>
  </si>
  <si>
    <t xml:space="preserve">contact@rootguardsecurity.com</t>
  </si>
  <si>
    <t xml:space="preserve">rootguardsecurity.com</t>
  </si>
  <si>
    <t xml:space="preserve">Independent security assurance and editable documentation.</t>
  </si>
  <si>
    <t xml:space="preserve">Free from RootGuard Security. Yours to keep, adapt and use.</t>
  </si>
  <si>
    <t xml:space="preserve">What this is</t>
  </si>
  <si>
    <t xml:space="preserve">A working checklist against Standard of Sound Practice: Management of Cyber Risks, for deposit-taking institutions licensed under the Banking Services Act, 2014.</t>
  </si>
  <si>
    <t xml:space="preserve">The source</t>
  </si>
  <si>
    <t xml:space="preserve">Document</t>
  </si>
  <si>
    <t xml:space="preserve">Standard of Sound Practice: Management of Cyber Risks, Bank of Jamaica. Applies to licensees under the Banking Services Act, 2014. The Bank of Jamaica lists it as the September 2024 standard on its Standards of Best Practice page. The document states no issue date, effective date or version, and its file still carries a hidden final draft marking dated 29 November 2023. Confirm its status with the Bank of Jamaica before treating any requirement as in force.</t>
  </si>
  <si>
    <t xml:space="preserve">Where to get it</t>
  </si>
  <si>
    <t xml:space="preserve">https://boj.org.jm/wp-content/uploads/2024/09/Standard-of-Sound-Practice-Management-of-Cyber-Risks.pdf</t>
  </si>
  <si>
    <t xml:space="preserve">How it was checked</t>
  </si>
  <si>
    <t xml:space="preserve">Every row was compared with the regulator's published document: the paragraph number, the strength of the wording, who the duty falls on, and that the restatement neither adds nor drops a condition.</t>
  </si>
  <si>
    <t xml:space="preserve">How it was built</t>
  </si>
  <si>
    <t xml:space="preserve">Each row restates one requirement in our own words and cites the paragraph number as printed in the regulator's document. Bulleted lists are split into one row per bullet. Descriptive paragraphs that impose no requirement have no row. The Strength column follows the regulator's wording: Must where it says must or shall, Should where it says should, Expected where it states an expectation without either.</t>
  </si>
  <si>
    <t xml:space="preserve">Check before relying on it</t>
  </si>
  <si>
    <t xml:space="preserve">The paraphrase is ours. Where a decision turns on the exact words, read the paragraph in the regulator's document. If you find a row that misstates it, tell us and we will correct it.</t>
  </si>
  <si>
    <t xml:space="preserve">How to read the columns</t>
  </si>
  <si>
    <t xml:space="preserve">Who the regulator puts the duty on: the board, senior management, a named function, or the institution.</t>
  </si>
  <si>
    <t xml:space="preserve">Evidence</t>
  </si>
  <si>
    <t xml:space="preserve">Our practical guidance on what would show the requirement is met, and the population it should cover. The regulator does not prescribe these artifacts.</t>
  </si>
  <si>
    <t xml:space="preserve">Status</t>
  </si>
  <si>
    <t xml:space="preserve">Met, Partly met, Not met, Not applicable, Not assessed. The Summary sheet counts them.</t>
  </si>
  <si>
    <t xml:space="preserve">Board questions</t>
  </si>
  <si>
    <t xml:space="preserve">The regulator's own list of questions a board should be able to answer, restated in plain words. Answer Yes, Partly, No or Don't know. Don't know is an answer, and usually the most useful one.</t>
  </si>
  <si>
    <t xml:space="preserve">What this will not do</t>
  </si>
  <si>
    <t xml:space="preserve">It will not tell you whether the regulator would accept your evidence, and it does not replace the attestation the document requires. It covers this document only, not other laws that apply to you.</t>
  </si>
  <si>
    <t xml:space="preserve">#</t>
  </si>
  <si>
    <t xml:space="preserve">Paragraph</t>
  </si>
  <si>
    <t xml:space="preserve">Area</t>
  </si>
  <si>
    <t xml:space="preserve">Requirement</t>
  </si>
  <si>
    <t xml:space="preserve">Strength</t>
  </si>
  <si>
    <t xml:space="preserve">Evidence that would show it is met</t>
  </si>
  <si>
    <t xml:space="preserve">Evidence location</t>
  </si>
  <si>
    <t xml:space="preserve">Responsible person</t>
  </si>
  <si>
    <t xml:space="preserve">Target date</t>
  </si>
  <si>
    <t xml:space="preserve">Notes</t>
  </si>
  <si>
    <t xml:space="preserve">Background and Context (unnumbered, paragraph 2)</t>
  </si>
  <si>
    <t xml:space="preserve">Cyber risk framework</t>
  </si>
  <si>
    <t xml:space="preserve">Each licensee under the Banking Services Act, 2014 is expected to have an effective framework for managing the cyber risk exposures inherent in its operations.</t>
  </si>
  <si>
    <t xml:space="preserve">Expected</t>
  </si>
  <si>
    <t xml:space="preserve">DTI</t>
  </si>
  <si>
    <t xml:space="preserve">Approved cyber risk management framework with a scope statement covering the DTI's operations.</t>
  </si>
  <si>
    <t xml:space="preserve">Not assessed</t>
  </si>
  <si>
    <t xml:space="preserve">3.0.4</t>
  </si>
  <si>
    <t xml:space="preserve">Board oversight</t>
  </si>
  <si>
    <t xml:space="preserve">The Board is expected to make sure the cyber risk framework reaches beyond IT to cover people, processes, data, facilities and testing.</t>
  </si>
  <si>
    <t xml:space="preserve">Board</t>
  </si>
  <si>
    <t xml:space="preserve">Board-approved framework document with a scope section naming people, process, data, facility and testing coverage; Board minutes approving it.</t>
  </si>
  <si>
    <t xml:space="preserve">3.1.1</t>
  </si>
  <si>
    <t xml:space="preserve">The Board must have full oversight of the institution's cyber risk management framework.</t>
  </si>
  <si>
    <t xml:space="preserve">Must</t>
  </si>
  <si>
    <t xml:space="preserve">Board or committee terms of reference assigning cyber risk oversight; minutes for the last 12 months showing the framework was reviewed.</t>
  </si>
  <si>
    <t xml:space="preserve">3.1.2</t>
  </si>
  <si>
    <t xml:space="preserve">The Board must make sure a cyber risk-aware culture exists across the whole organization.</t>
  </si>
  <si>
    <t xml:space="preserve">Board minutes discussing culture measures; awareness and training completion figures for all staff reported to the Board.</t>
  </si>
  <si>
    <t xml:space="preserve">3.1.3</t>
  </si>
  <si>
    <t xml:space="preserve">Board competence</t>
  </si>
  <si>
    <t xml:space="preserve">The Board, both individually and as a body, must understand how serious the cyber threat environment is. It should make sure it collectively holds a suitable balance of skills, knowledge and experience to understand and assess the cyber risks the DTI faces, and should be informed and capable enough to challenge, credibly, what designated senior management recommends and decides.</t>
  </si>
  <si>
    <t xml:space="preserve">Board skills matrix covering cyber and technology; minutes recording questions and challenge put to management on cyber items.</t>
  </si>
  <si>
    <t xml:space="preserve">3.1.4</t>
  </si>
  <si>
    <t xml:space="preserve">The Board and senior management must keep an ongoing program that assesses gaps in the knowledge and expertise of the Board and of management and puts initiatives in place to close them. The Board and the senior management team shall be suitably constituted with people who appreciate cyber risk management, with a program in place so that all members receive continuous training.</t>
  </si>
  <si>
    <t xml:space="preserve">Board and Senior management</t>
  </si>
  <si>
    <t xml:space="preserve">Training log for every director and senior manager over the last 12 months; gap assessment and the plan that closes it.</t>
  </si>
  <si>
    <t xml:space="preserve">3.1.5</t>
  </si>
  <si>
    <t xml:space="preserve">The Board must review and approve a cyber risk management framework, which should include at least four lines of defense: business units that own and manage cyber and IT risks; a risk management function that oversees those risks; an internal audit function giving independent assurance over them; and information-sharing arrangements together with independent external assurance.</t>
  </si>
  <si>
    <t xml:space="preserve">Board resolution approving the framework; framework section mapping each of the four lines to named functions.</t>
  </si>
  <si>
    <t xml:space="preserve">3.1.6</t>
  </si>
  <si>
    <t xml:space="preserve">Risk tolerance</t>
  </si>
  <si>
    <t xml:space="preserve">The Board should be responsible for setting the DTI's tolerance for cyber risk and for closely overseeing how the DTI implements its framework and the policies, procedures and controls that support continuity of critical operations and core business lines. This oversight should take in the interconnected factors arising from third-party dependencies, including supply chain, procurement and outsourcing.</t>
  </si>
  <si>
    <t xml:space="preserve">Should</t>
  </si>
  <si>
    <t xml:space="preserve">Board-approved cyber risk tolerance statement with measurable thresholds; inventory of critical operations and their third-party dependencies reviewed by the Board.</t>
  </si>
  <si>
    <t xml:space="preserve">3.1.7</t>
  </si>
  <si>
    <t xml:space="preserve">The Board and senior management should make sure cyber risk, the implementation of the framework and related issues appear regularly on the Board agenda. The Board should have adequate access to cybersecurity expertise, internal or external, and cyber risk discussions should be given adequate time on the agenda.</t>
  </si>
  <si>
    <t xml:space="preserve">Board agendas and minutes for the last 12 months showing cyber items; record of external or internal experts briefing the Board.</t>
  </si>
  <si>
    <t xml:space="preserve">3.1.8</t>
  </si>
  <si>
    <t xml:space="preserve">The Board is expected to take a key role in judging whether the oversight arrangements set out above are effective and in enabling management to make the decisions needed to carry them out, so that Board oversight of cyber risk stays effective under corporate governance principles.</t>
  </si>
  <si>
    <t xml:space="preserve">Annual Board review of framework effectiveness; delegations of authority to management for cyber matters.</t>
  </si>
  <si>
    <t xml:space="preserve">3.1.9</t>
  </si>
  <si>
    <t xml:space="preserve">The Board must review, deliberate on and challenge the cyber risk information in sub-committee reports, and evidence of that deliberation and of the decisions reached must be recorded in the relevant Board minutes. Circulating sub-committee reports for members to read on their own is not sufficient.</t>
  </si>
  <si>
    <t xml:space="preserve">Full set of sub-committee cyber reports for the period matched to Board minutes recording discussion and challenge of each.</t>
  </si>
  <si>
    <t xml:space="preserve">4.0.3 bullet 1</t>
  </si>
  <si>
    <t xml:space="preserve">The DTI must have an operational cyber risk framework that includes an organizational structure with defined roles, responsibilities and expertise.</t>
  </si>
  <si>
    <t xml:space="preserve">Organization chart and role descriptions for every cyber role.</t>
  </si>
  <si>
    <t xml:space="preserve">4.0.3 bullet 2</t>
  </si>
  <si>
    <t xml:space="preserve">The DTI must have an operational cyber risk framework that includes consideration of third-party dependencies.</t>
  </si>
  <si>
    <t xml:space="preserve">Third-party register showing which suppliers support critical operations.</t>
  </si>
  <si>
    <t xml:space="preserve">4.0.3 bullet 3</t>
  </si>
  <si>
    <t xml:space="preserve">The DTI must have an operational cyber risk framework that includes assessment of its exposure and susceptibility to cyber threats.</t>
  </si>
  <si>
    <t xml:space="preserve">Current cyber risk assessment covering all in-scope systems.</t>
  </si>
  <si>
    <t xml:space="preserve">4.0.3 bullet 4</t>
  </si>
  <si>
    <t xml:space="preserve">The DTI must have an operational cyber risk framework that includes internal controls that limit the impact of cyber risks.</t>
  </si>
  <si>
    <t xml:space="preserve">Control catalogue mapped to the risks it treats.</t>
  </si>
  <si>
    <t xml:space="preserve">4.0.3 bullet 5</t>
  </si>
  <si>
    <t xml:space="preserve">The DTI must have an operational cyber risk framework that includes monitoring of cyber risks and reporting to stakeholders.</t>
  </si>
  <si>
    <t xml:space="preserve">Monitoring and reporting procedure with the last four periodic reports.</t>
  </si>
  <si>
    <t xml:space="preserve">4.1.1</t>
  </si>
  <si>
    <t xml:space="preserve">Structure and expertise</t>
  </si>
  <si>
    <t xml:space="preserve">Senior management must put in place an organizational structure with enough resources and cyber expertise.</t>
  </si>
  <si>
    <t xml:space="preserve">Senior management</t>
  </si>
  <si>
    <t xml:space="preserve">Organization chart, headcount and vacancy figures for security roles, and qualifications held by role holders.</t>
  </si>
  <si>
    <t xml:space="preserve">4.1.3</t>
  </si>
  <si>
    <t xml:space="preserve">Personnel security</t>
  </si>
  <si>
    <t xml:space="preserve">Senior management should screen and vet staff, vendors and contractors, including security clearance checks, to reduce the risk of insider sabotage or fraud.</t>
  </si>
  <si>
    <t xml:space="preserve">Screening policy; screening records for all hires, contractors and vendor staff with access in the last 12 months.</t>
  </si>
  <si>
    <t xml:space="preserve">4.1.4</t>
  </si>
  <si>
    <t xml:space="preserve">Training and culture</t>
  </si>
  <si>
    <t xml:space="preserve">Senior management should make sure every employee takes part in mandatory cybersecurity awareness programs.</t>
  </si>
  <si>
    <t xml:space="preserve">Training completion report against the full HR headcount, with names of those overdue.</t>
  </si>
  <si>
    <t xml:space="preserve">4.2.1 bullet 1</t>
  </si>
  <si>
    <t xml:space="preserve">Senior management duties</t>
  </si>
  <si>
    <t xml:space="preserve">Expected of senior management (listed as a responsibility, no modal): establish an enterprise-wide cyber risk management process aligned with business objectives, risk appetite and regulation.</t>
  </si>
  <si>
    <t xml:space="preserve">Approved cyber risk management procedure and the last cycle's outputs.</t>
  </si>
  <si>
    <t xml:space="preserve">4.2.1 bullet 2</t>
  </si>
  <si>
    <t xml:space="preserve">Expected of senior management (listed as a responsibility, no modal): use leading international, national and industry-level standards, guidelines or recommendations that reflect current practice as the benchmark when designing the cyber resilience framework, and adopt the most effective cyber resilience measures.</t>
  </si>
  <si>
    <t xml:space="preserve">Mapping of the framework to the chosen standard, with gaps recorded.</t>
  </si>
  <si>
    <t xml:space="preserve">4.2.1 bullet 3</t>
  </si>
  <si>
    <t xml:space="preserve">Expected of senior management (listed as a responsibility, no modal): develop a cybersecurity strategy, informed by the risk management process, that builds the capability to prevent, monitor and defend against attacks that try to access, change or destroy data, extort money, or disrupt normal operations.</t>
  </si>
  <si>
    <t xml:space="preserve">Approved cybersecurity strategy with traceability to the risk assessment.</t>
  </si>
  <si>
    <t xml:space="preserve">4.2.1 bullet 4</t>
  </si>
  <si>
    <t xml:space="preserve">Expected of senior management (listed as a responsibility, no modal): keep cybersecurity preparedness aligned with business strategy and track technology and industry trends.</t>
  </si>
  <si>
    <t xml:space="preserve">Strategy review records and horizon scanning notes for the last year.</t>
  </si>
  <si>
    <t xml:space="preserve">4.2.1 bullet 5</t>
  </si>
  <si>
    <t xml:space="preserve">Expected of senior management (listed as a responsibility, no modal): implement effective internal controls that support reliability, resilience and recoverability.</t>
  </si>
  <si>
    <t xml:space="preserve">Control testing results for controls supporting critical operations.</t>
  </si>
  <si>
    <t xml:space="preserve">4.2.1 bullet 6</t>
  </si>
  <si>
    <t xml:space="preserve">Expected of senior management (listed as a responsibility, no modal): make sure cybersecurity awareness and training run across the whole enterprise, especially for staff in critical operations and core business lines, including third-party personnel, and that those people are trained adequately for their information security duties under the related processes and agreements.</t>
  </si>
  <si>
    <t xml:space="preserve">Training records covering employees and third-party staff working on critical operations.</t>
  </si>
  <si>
    <t xml:space="preserve">4.2.1 bullet 7</t>
  </si>
  <si>
    <t xml:space="preserve">Expected of senior management (listed as a responsibility, no modal): set and enforce cyber hygiene practices supported by ongoing training.</t>
  </si>
  <si>
    <t xml:space="preserve">Hygiene policy and enforcement reports, such as MFA and patch compliance.</t>
  </si>
  <si>
    <t xml:space="preserve">4.2.1 bullet 8</t>
  </si>
  <si>
    <t xml:space="preserve">Expected of senior management (listed as a responsibility, no modal): put in place policies, procedures and controls that support incident response and recovery.</t>
  </si>
  <si>
    <t xml:space="preserve">Approved incident response and recovery plans with version history.</t>
  </si>
  <si>
    <t xml:space="preserve">4.2.1 bullet 9</t>
  </si>
  <si>
    <t xml:space="preserve">Expected of senior management (listed as a responsibility, no modal): work with business and technical teams to develop, test and improve response and recovery plans.</t>
  </si>
  <si>
    <t xml:space="preserve">Exercise reports and the plan updates that followed them.</t>
  </si>
  <si>
    <t xml:space="preserve">4.2.1 bullet 10</t>
  </si>
  <si>
    <t xml:space="preserve">Expected of senior management (listed as a responsibility, no modal): inform Board members promptly or within 72 hours of any cyber or IT vulnerability, threat, issue or incident that may significantly affect the DTI, its suppliers, its customers or the wider financial system.</t>
  </si>
  <si>
    <t xml:space="preserve">Escalation procedure naming the 72-hour Board notice; log of significant incidents with the time of Board notification for each.</t>
  </si>
  <si>
    <t xml:space="preserve">4.2.2 bullet 1</t>
  </si>
  <si>
    <t xml:space="preserve">CIO role</t>
  </si>
  <si>
    <t xml:space="preserve">The CIO or equivalent should oversee all IT and information systems.</t>
  </si>
  <si>
    <t xml:space="preserve">CIO or equivalent</t>
  </si>
  <si>
    <t xml:space="preserve">IT governance charter and system inventory under the CIO's remit.</t>
  </si>
  <si>
    <t xml:space="preserve">4.2.2 bullet 2</t>
  </si>
  <si>
    <t xml:space="preserve">The CIO or equivalent should lead digital transformation and technology innovation.</t>
  </si>
  <si>
    <t xml:space="preserve">Technology roadmap approved by management.</t>
  </si>
  <si>
    <t xml:space="preserve">4.2.2 bullet 3</t>
  </si>
  <si>
    <t xml:space="preserve">The CIO or equivalent should align information security and data protection with business strategy.</t>
  </si>
  <si>
    <t xml:space="preserve">Strategy documents showing security and data protection objectives tied to business goals.</t>
  </si>
  <si>
    <t xml:space="preserve">4.2.3 bullet 1</t>
  </si>
  <si>
    <t xml:space="preserve">CISO role</t>
  </si>
  <si>
    <t xml:space="preserve">The CISO or equivalent should develop the cybersecurity preparedness strategy, oversee the program that delivers it and keep it aligned with business goals.</t>
  </si>
  <si>
    <t xml:space="preserve">CISO or equivalent</t>
  </si>
  <si>
    <t xml:space="preserve">Approved strategy and program plan owned by the CISO, with status reports.</t>
  </si>
  <si>
    <t xml:space="preserve">4.2.3 bullet 2</t>
  </si>
  <si>
    <t xml:space="preserve">The CISO or equivalent should manage the cyber risk management processes.</t>
  </si>
  <si>
    <t xml:space="preserve">Risk register and assessment records maintained under the CISO.</t>
  </si>
  <si>
    <t xml:space="preserve">4.2.3 bullet 3</t>
  </si>
  <si>
    <t xml:space="preserve">The CISO or equivalent should enforce cybersecurity policies.</t>
  </si>
  <si>
    <t xml:space="preserve">Policy exception register and enforcement records.</t>
  </si>
  <si>
    <t xml:space="preserve">4.2.3 bullet 4</t>
  </si>
  <si>
    <t xml:space="preserve">The CISO or equivalent should make sure adequate resources are in place.</t>
  </si>
  <si>
    <t xml:space="preserve">Resource plan and budget requests submitted by the CISO.</t>
  </si>
  <si>
    <t xml:space="preserve">4.2.3 bullet 5</t>
  </si>
  <si>
    <t xml:space="preserve">The CISO or equivalent should implement and run security metrics and monitoring.</t>
  </si>
  <si>
    <t xml:space="preserve">Metric definitions and the monitoring dashboards or reports for the last quarter.</t>
  </si>
  <si>
    <t xml:space="preserve">4.2.3 bullet 6</t>
  </si>
  <si>
    <t xml:space="preserve">The CISO or equivalent should stay current on threats and keep the Board informed.</t>
  </si>
  <si>
    <t xml:space="preserve">CISO reports to the Board or its committee over the last 12 months.</t>
  </si>
  <si>
    <t xml:space="preserve">4.2.3 bullet 7</t>
  </si>
  <si>
    <t xml:space="preserve">The CISO or equivalent should make sure data owner, custodian and user roles are defined, assigned and managed.</t>
  </si>
  <si>
    <t xml:space="preserve">Data classification policy and the register of data owners and custodians for all key data sets.</t>
  </si>
  <si>
    <t xml:space="preserve">4.2.4 bullet 1</t>
  </si>
  <si>
    <t xml:space="preserve">Incident response</t>
  </si>
  <si>
    <t xml:space="preserve">The DTI should name a person or team to coordinate incident actions and communications so responders receive one set of instructions.</t>
  </si>
  <si>
    <t xml:space="preserve">Incident response plan naming the coordinator and deputy; contact list tested in the last exercise.</t>
  </si>
  <si>
    <t xml:space="preserve">4.2.4 bullet 2</t>
  </si>
  <si>
    <t xml:space="preserve">Management should show commitment by fostering an environment where staff report and escalate incidents.</t>
  </si>
  <si>
    <t xml:space="preserve">Executive sponsor named in the plan; reporting channel statistics showing staff reports over the last 12 months.</t>
  </si>
  <si>
    <t xml:space="preserve">4.2.5 bullet 1</t>
  </si>
  <si>
    <t xml:space="preserve">Project management office</t>
  </si>
  <si>
    <t xml:space="preserve">The project management office or equivalent should provide central coordination and support for technology projects and change management.</t>
  </si>
  <si>
    <t xml:space="preserve">PMO or equivalent</t>
  </si>
  <si>
    <t xml:space="preserve">PMO charter and change management records.</t>
  </si>
  <si>
    <t xml:space="preserve">4.2.5 bullet 2</t>
  </si>
  <si>
    <t xml:space="preserve">The project management office or equivalent should use partnerships and resource management to deliver requirements set by the CISO.</t>
  </si>
  <si>
    <t xml:space="preserve">Project records tracing CISO requirements to delivery.</t>
  </si>
  <si>
    <t xml:space="preserve">4.2.5 bullet 3</t>
  </si>
  <si>
    <t xml:space="preserve">The project management office or equivalent should develop and maintain procedures, policies, templates and project documentation.</t>
  </si>
  <si>
    <t xml:space="preserve">PMO document library with version control.</t>
  </si>
  <si>
    <t xml:space="preserve">4.2.5 bullet 4</t>
  </si>
  <si>
    <t xml:space="preserve">The project management office or equivalent should audit projects for compliance with IT, data security and data protection standards.</t>
  </si>
  <si>
    <t xml:space="preserve">Project compliance reviews for all projects closed in the last 12 months.</t>
  </si>
  <si>
    <t xml:space="preserve">4.2.5 bullet 5</t>
  </si>
  <si>
    <t xml:space="preserve">The project management office or equivalent should coordinate communication across technology projects so they stay aligned and deliver benefits.</t>
  </si>
  <si>
    <t xml:space="preserve">Portfolio status reports and benefits tracking.</t>
  </si>
  <si>
    <t xml:space="preserve">4.2.6 bullet 1</t>
  </si>
  <si>
    <t xml:space="preserve">Security program scope</t>
  </si>
  <si>
    <t xml:space="preserve">Programs and projects supporting the cybersecurity strategy should address network security.</t>
  </si>
  <si>
    <t xml:space="preserve">Network security standard, segmentation diagrams and firewall rule reviews.</t>
  </si>
  <si>
    <t xml:space="preserve">4.2.6 bullet 2</t>
  </si>
  <si>
    <t xml:space="preserve">Programs and projects supporting the cybersecurity strategy should address application security for on-premises, mobile and cloud applications, and security and privacy should be built into applications at the design stage, taking account of how data is handled and how users are authenticated.</t>
  </si>
  <si>
    <t xml:space="preserve">Secure development standard and application test results.</t>
  </si>
  <si>
    <t xml:space="preserve">4.2.6 bullet 3</t>
  </si>
  <si>
    <t xml:space="preserve">Programs and projects supporting the cybersecurity strategy should address storage security, including encrypted, immutable and isolated backups.</t>
  </si>
  <si>
    <t xml:space="preserve">Backup configuration showing encryption, immutability and isolation, plus restore test records.</t>
  </si>
  <si>
    <t xml:space="preserve">4.2.6 bullet 4</t>
  </si>
  <si>
    <t xml:space="preserve">Programs and projects supporting the cybersecurity strategy should address cloud security.</t>
  </si>
  <si>
    <t xml:space="preserve">Cloud security standard and configuration review results for all cloud tenants.</t>
  </si>
  <si>
    <t xml:space="preserve">4.2.6 bullet 5</t>
  </si>
  <si>
    <t xml:space="preserve">Programs and projects supporting the cybersecurity strategy should address protection of sensitive and personal data.</t>
  </si>
  <si>
    <t xml:space="preserve">Data inventory and data protection controls for sensitive and personal data.</t>
  </si>
  <si>
    <t xml:space="preserve">4.2.6 bullet 6</t>
  </si>
  <si>
    <t xml:space="preserve">Programs and projects supporting the cybersecurity strategy should address cybersecurity awareness and training.</t>
  </si>
  <si>
    <t xml:space="preserve">Training program plan and completion records.</t>
  </si>
  <si>
    <t xml:space="preserve">4.2.6 bullet 7</t>
  </si>
  <si>
    <t xml:space="preserve">Programs and projects supporting the cybersecurity strategy should address business continuity and disaster recovery planning.</t>
  </si>
  <si>
    <t xml:space="preserve">BCP and DR plans with the last test results.</t>
  </si>
  <si>
    <t xml:space="preserve">4.2.6 bullet 8</t>
  </si>
  <si>
    <t xml:space="preserve">Programs and projects supporting the cybersecurity strategy should address security and privacy in emerging technologies.</t>
  </si>
  <si>
    <t xml:space="preserve">Risk assessments for new technologies adopted in the last 12 months.</t>
  </si>
  <si>
    <t xml:space="preserve">4.3.2</t>
  </si>
  <si>
    <t xml:space="preserve">Third parties</t>
  </si>
  <si>
    <t xml:space="preserve">The DTI must plan and carry out thorough due diligence to identify the risks tied to third-party service providers, and must set up processes to measure, monitor and control those risks. Identifying risk and monitoring control effectiveness may include testing or auditing the third party's security controls, for example through SOC 2 Type 2 reports.</t>
  </si>
  <si>
    <t xml:space="preserve">Third-party risk procedure; vendor risk assessments and assurance reports (such as SOC 2 Type 2) for all vendors supporting critical operations.</t>
  </si>
  <si>
    <t xml:space="preserve">4.3.3</t>
  </si>
  <si>
    <t xml:space="preserve">Before entering a new third-party relationship, the DTI must assess the cyber risk and carry out due diligence to confirm the relationship fits its cyber strategy.</t>
  </si>
  <si>
    <t xml:space="preserve">Pre-contract due diligence files for every vendor onboarded in the last 12 months.</t>
  </si>
  <si>
    <t xml:space="preserve">4.3.4</t>
  </si>
  <si>
    <t xml:space="preserve">Contracts between the DTI and its third parties must clearly assign responsibility for configuring and managing system access rights, configuration capabilities, and the deployment of services and information assets.</t>
  </si>
  <si>
    <t xml:space="preserve">Contract clauses on access, configuration and deployment control for all vendors with system access.</t>
  </si>
  <si>
    <t xml:space="preserve">4.3.5</t>
  </si>
  <si>
    <t xml:space="preserve">The DTI must use controls to verify that third parties have resilient operational processes consistent with the DTI's internal standards, including verifying and validating that third-party systems supporting critical operations and core business lines will stay operational during disruption or can return to operation within the DTI's tolerance for disruption.</t>
  </si>
  <si>
    <t xml:space="preserve">Vendor recovery test results or BCP evidence compared to the DTI's recovery targets for each critical vendor.</t>
  </si>
  <si>
    <t xml:space="preserve">4.4.2</t>
  </si>
  <si>
    <t xml:space="preserve">Risk identification</t>
  </si>
  <si>
    <t xml:space="preserve">The DTI should be vigilant in identifying and analyzing cyber risks, as this is a crucial step in containing them. Paragraph 4.4.1 describes identification as covering threats and vulnerabilities across internal and external networks, hardware, software, applications, third-party services, system interfaces, operations and people throughout the supply chain.</t>
  </si>
  <si>
    <t xml:space="preserve">Risk identification procedure and the current risk assessment covering each of those sources.</t>
  </si>
  <si>
    <t xml:space="preserve">4.4.4</t>
  </si>
  <si>
    <t xml:space="preserve">Testing</t>
  </si>
  <si>
    <t xml:space="preserve">The DTI should run penetration tests that simulate real attacks on internet-facing systems at least once a year or after major changes, and should run full-scope penetration tests at least every two years.</t>
  </si>
  <si>
    <t xml:space="preserve">Penetration test reports for all internet-facing systems in the last 12 months; full-scope test report within the last 24 months; change log showing retests after major changes.</t>
  </si>
  <si>
    <t xml:space="preserve">4.4.5</t>
  </si>
  <si>
    <t xml:space="preserve">The DTI should run regular scenario-based exercises that test response, recovery and communications, such as social engineering, tabletop, cyber range or adversarial simulation.</t>
  </si>
  <si>
    <t xml:space="preserve">Exercise schedule and after-action reports for the last 12 months.</t>
  </si>
  <si>
    <t xml:space="preserve">4.4.6</t>
  </si>
  <si>
    <t xml:space="preserve">Depending on the type and objectives of an exercise, the DTI should involve all relevant stakeholders, including management, business functions, corporate communications, the crisis management team, service providers, and the technical staff responsible for detecting, responding to and recovering from cyber threats.</t>
  </si>
  <si>
    <t xml:space="preserve">Attendance records for each exercise showing participant groups.</t>
  </si>
  <si>
    <t xml:space="preserve">4.4.7</t>
  </si>
  <si>
    <t xml:space="preserve">Exercise objectives, scope and rules should be set in advance, and each exercise must be closely supervised in a controlled environment that protects production systems.</t>
  </si>
  <si>
    <t xml:space="preserve">Signed rules of engagement and supervision records for every exercise.</t>
  </si>
  <si>
    <t xml:space="preserve">4.4.8</t>
  </si>
  <si>
    <t xml:space="preserve">Adversarial simulations should be based on plausible attacks and relevant threat intelligence about likely threat actors and their methods.</t>
  </si>
  <si>
    <t xml:space="preserve">Threat intelligence inputs cited in the simulation plan.</t>
  </si>
  <si>
    <t xml:space="preserve">4.5.1</t>
  </si>
  <si>
    <t xml:space="preserve">Risk mitigation</t>
  </si>
  <si>
    <t xml:space="preserve">The DTI should consider buying insurance for insurable risks, including recovery and restitution costs. The rest of the paragraph is descriptive: it calls mitigation a methodical process of evaluating, prioritizing and implementing risk-reduction controls, and says a combination of technical, procedural, operational and functional controls gives a rigorous way to reduce risk.</t>
  </si>
  <si>
    <t xml:space="preserve">Risk treatment records; cyber insurance policy schedule or a documented decision not to insure.</t>
  </si>
  <si>
    <t xml:space="preserve">4.5.2</t>
  </si>
  <si>
    <t xml:space="preserve">For each identified risk the DTI should prepare and carry out a treatment plan matched to the criticality of the asset and to its risk tolerance.</t>
  </si>
  <si>
    <t xml:space="preserve">Treatment plan for every risk in the register above tolerance, with owner and due date.</t>
  </si>
  <si>
    <t xml:space="preserve">4.5.3</t>
  </si>
  <si>
    <t xml:space="preserve">The DTI should prioritize the threat and vulnerability pairings that could cause the most harm and should weigh control costs against benefits.</t>
  </si>
  <si>
    <t xml:space="preserve">Prioritization method and the ranked list it produced.</t>
  </si>
  <si>
    <t xml:space="preserve">4.5.4</t>
  </si>
  <si>
    <t xml:space="preserve">The DTI must manage and control risk in a way that keeps it financially and operationally viable and stable, paying attention to the design of control standards and control patterns that secure its IT infrastructure, and mitigating cyber and IT risks according to its risk appetite statement. Control objectives should cover all types of technology and cybersecurity controls and should map to industry standards.</t>
  </si>
  <si>
    <t xml:space="preserve">Risk register showing residual risk against appetite; control framework mapped to a named standard.</t>
  </si>
  <si>
    <t xml:space="preserve">4.5.5</t>
  </si>
  <si>
    <t xml:space="preserve">The DTI must monitor its attack surface constantly so potential threats are identified and blocked as quickly as possible. As its digital footprint grows and it adopts new technology, every effort should be made to ensure the controls it implements are automated or technically enforceable.</t>
  </si>
  <si>
    <t xml:space="preserve">Attack surface inventory and monitoring output covering all internet-facing assets; list of technically enforced controls.</t>
  </si>
  <si>
    <t xml:space="preserve">4.6.1</t>
  </si>
  <si>
    <t xml:space="preserve">Monitoring and reporting</t>
  </si>
  <si>
    <t xml:space="preserve">The DTI should keep a risk register that supports monitoring and reporting of cyber and IT risks. The most severe risks should get top priority and close monitoring, with regular reports on the actions taken to mitigate them. The register should be updated periodically, and the DTI should set up a monitoring and review process for continuous assessment and treatment of risk.</t>
  </si>
  <si>
    <t xml:space="preserve">Cyber risk register with review dates; periodic reports on top risks.</t>
  </si>
  <si>
    <t xml:space="preserve">4.6.2</t>
  </si>
  <si>
    <t xml:space="preserve">The DTI should develop risk metrics that show where exposure is highest and give the Board an overall risk profile, drawing on incidents, regulation, testing and audit results.</t>
  </si>
  <si>
    <t xml:space="preserve">Key risk indicator definitions and the Board risk profile report for the last four quarters.</t>
  </si>
  <si>
    <t xml:space="preserve">4.6.3</t>
  </si>
  <si>
    <t xml:space="preserve">Because risk parameters change, the DTI should update its processes and periodically assess whether its controls are adequate and effective.</t>
  </si>
  <si>
    <t xml:space="preserve">Control effectiveness assessments and the process changes that followed.</t>
  </si>
  <si>
    <t xml:space="preserve">4.6.4</t>
  </si>
  <si>
    <t xml:space="preserve">IT management should review and update its approach to risk control as circumstances, the risk profile and threats change.</t>
  </si>
  <si>
    <t xml:space="preserve">IT operations management</t>
  </si>
  <si>
    <t xml:space="preserve">Dated reviews of the IT risk control approach.</t>
  </si>
  <si>
    <t xml:space="preserve">4.6.5</t>
  </si>
  <si>
    <t xml:space="preserve">Detection</t>
  </si>
  <si>
    <t xml:space="preserve">The DTI must continuously monitor for emerging threats such as denial of service, internal sabotage and malware so intrusions and malicious activity are detected promptly.</t>
  </si>
  <si>
    <t xml:space="preserve">Monitoring coverage report showing log sources and endpoint agents against the full asset inventory; alert and triage records.</t>
  </si>
  <si>
    <t xml:space="preserve">4.6.6</t>
  </si>
  <si>
    <t xml:space="preserve">Incident reporting</t>
  </si>
  <si>
    <t xml:space="preserve">Incidents must be reported promptly, within 72 hours, to the Bank of Jamaica and to the appropriate authorities. The standard says local authorities may include the Bank of Jamaica, the Financial Services Commission, the Jamaica Cyber Incident Response Team, the Office of the Information Commissioner, the Major Organised Crime and Anti-corruption Agency, the Financial Investigation Division of the Ministry of Finance and the Jamaica Constabulary Force.</t>
  </si>
  <si>
    <t xml:space="preserve">Incident reporting procedure naming the 72-hour clock, the Bank of Jamaica, and the other authorities the DTI has determined are appropriate; incident log with detection time and the time each authority was notified, for every reportable incident.</t>
  </si>
  <si>
    <t xml:space="preserve">4.7.1 bullet 1</t>
  </si>
  <si>
    <t xml:space="preserve">Risk management function</t>
  </si>
  <si>
    <t xml:space="preserve">The risk management function should monitor cyber risk as part of operational risk.</t>
  </si>
  <si>
    <t xml:space="preserve">Operational risk reports that include cyber risk.</t>
  </si>
  <si>
    <t xml:space="preserve">4.7.1 bullet 2</t>
  </si>
  <si>
    <t xml:space="preserve">The risk management function should help make risk management and control practices effective.</t>
  </si>
  <si>
    <t xml:space="preserve">Second-line review reports on first-line controls.</t>
  </si>
  <si>
    <t xml:space="preserve">4.7.1 bullet 3</t>
  </si>
  <si>
    <t xml:space="preserve">The risk management function should propose the institution's cyber risk tolerance for Board approval.</t>
  </si>
  <si>
    <t xml:space="preserve">Risk tolerance proposal paper and the Board approval.</t>
  </si>
  <si>
    <t xml:space="preserve">4.7.1 bullet 4</t>
  </si>
  <si>
    <t xml:space="preserve">The risk management function should work with the CISO to bring cybersecurity into governance, risk and compliance processes.</t>
  </si>
  <si>
    <t xml:space="preserve">GRC process documents showing cyber integration.</t>
  </si>
  <si>
    <t xml:space="preserve">4.7.1 bullet 5</t>
  </si>
  <si>
    <t xml:space="preserve">The risk management function should report risk information.</t>
  </si>
  <si>
    <t xml:space="preserve">Second-line risk reports for the period.</t>
  </si>
  <si>
    <t xml:space="preserve">4.7.1 bullet 6</t>
  </si>
  <si>
    <t xml:space="preserve">The risk management function should confirm that the first line has prepared a suitable risk treatment plan.</t>
  </si>
  <si>
    <t xml:space="preserve">Second-line sign-off on first-line treatment plans.</t>
  </si>
  <si>
    <t xml:space="preserve">4.7.2</t>
  </si>
  <si>
    <t xml:space="preserve">The DTI's cyber risk assessment process should be consistent with its enterprise risk management framework, since the two share common elements with the policies, procedures and controls used for other risks. The paragraph lists evaluating cyber risk in a systematic, impact-driven structure from Board level down to control objectives and metric thresholds, and gives example impact metrics: downtime of critical functions and services, records stolen or accounts affected, customers affected, revenue lost to downtime including lost future business, and percentage of service level agreements breached.</t>
  </si>
  <si>
    <t xml:space="preserve">Cyber risk methodology cross-referenced to the ERM framework; impact scales using those metrics.</t>
  </si>
  <si>
    <t xml:space="preserve">4.7.3</t>
  </si>
  <si>
    <t xml:space="preserve">The DTI should implement risk management practices and internal controls that support confidentiality, security, reliability, resilience and recoverability.</t>
  </si>
  <si>
    <t xml:space="preserve">Control framework showing coverage of each of those objectives.</t>
  </si>
  <si>
    <t xml:space="preserve">4.7.4</t>
  </si>
  <si>
    <t xml:space="preserve">The cyber risk assessment process should be updated after material changes to the business model, operating environment or strategy.</t>
  </si>
  <si>
    <t xml:space="preserve">Log of material changes with the reassessment each one triggered.</t>
  </si>
  <si>
    <t xml:space="preserve">4.8.1 bullet 1</t>
  </si>
  <si>
    <t xml:space="preserve">Internal audit</t>
  </si>
  <si>
    <t xml:space="preserve">Internal audit should give independent assurance that cyber policies and controls operate effectively.</t>
  </si>
  <si>
    <t xml:space="preserve">Internal audit plan covering cyber; audit reports with testing of control operation over the last cycle.</t>
  </si>
  <si>
    <t xml:space="preserve">4.8.1 bullet 2</t>
  </si>
  <si>
    <t xml:space="preserve">Internal audit should produce audit reports on its findings about key information security risks in the environment.</t>
  </si>
  <si>
    <t xml:space="preserve">Audit reports and the findings tracker presented to the audit committee.</t>
  </si>
  <si>
    <t xml:space="preserve">4.8.2</t>
  </si>
  <si>
    <t xml:space="preserve">Internal audit should support coordination between independent cyber assessors and regulators to benchmark the governance framework against standards such as the NIST Cybersecurity Framework.</t>
  </si>
  <si>
    <t xml:space="preserve">Benchmarking report against a named framework and correspondence with assessors and the regulator.</t>
  </si>
  <si>
    <t xml:space="preserve">4.9.1</t>
  </si>
  <si>
    <t xml:space="preserve">Information sharing</t>
  </si>
  <si>
    <t xml:space="preserve">Senior management should set up cyber information-sharing arrangements using sector threat intelligence at national, regional and global levels, including sharing threats and incidents with other institutions and local authorities.</t>
  </si>
  <si>
    <t xml:space="preserve">Membership records for sharing groups and a log of intelligence received and shared.</t>
  </si>
  <si>
    <t xml:space="preserve">4.9.2</t>
  </si>
  <si>
    <t xml:space="preserve">The DTI should establish an information-sharing relationship with JaCIRT that aligns with the national cyber strategy and supports testing activities, collective intelligence, coordinated responses to cyber threats and stronger internal control systems.</t>
  </si>
  <si>
    <t xml:space="preserve">JaCIRT contact arrangement and records of exchanges.</t>
  </si>
  <si>
    <t xml:space="preserve">4.9.3</t>
  </si>
  <si>
    <t xml:space="preserve">Situational awareness</t>
  </si>
  <si>
    <t xml:space="preserve">The DTI should maintain situational awareness so it can anticipate and respond to changes in its environment and threat landscape while keeping incident response effective.</t>
  </si>
  <si>
    <t xml:space="preserve">Threat briefings and the actions taken from them.</t>
  </si>
  <si>
    <t xml:space="preserve">4.9.4</t>
  </si>
  <si>
    <t xml:space="preserve">Threat intelligence</t>
  </si>
  <si>
    <t xml:space="preserve">The DTI should run a program that gathers, analyzes and shares vulnerability and threat information from public and private sources to produce actionable intelligence.</t>
  </si>
  <si>
    <t xml:space="preserve">Threat intelligence procedure, sources list and actioned advisories for the last quarter.</t>
  </si>
  <si>
    <t xml:space="preserve">4.10.1</t>
  </si>
  <si>
    <t xml:space="preserve">The DTI must report cyber incidents and data breaches promptly, within 72 hours, to the Bank of Jamaica and the relevant authorities (see 4.6.6). A digital forensics report from an external cybersecurity assessor may be requested; the text does not say by whom.</t>
  </si>
  <si>
    <t xml:space="preserve">Notifications sent to the Bank of Jamaica with timestamps; arrangement with an external forensics provider able to produce a report on request.</t>
  </si>
  <si>
    <t xml:space="preserve">4.10.2</t>
  </si>
  <si>
    <t xml:space="preserve">External assurance</t>
  </si>
  <si>
    <t xml:space="preserve">The DTI must give the Bank of Jamaica an annual attestation that covers areas of weakness, compensating controls for areas of non-compliance or partial compliance, and the initiatives under way to address them. The yearly attestation shall alternate between a self-attestation and an independent attestation.</t>
  </si>
  <si>
    <t xml:space="preserve">Annual attestation as submitted, with the submission record and the remediation plan it refers to. Attestations for consecutive years showing the alternation between self and independent attestation.</t>
  </si>
  <si>
    <t xml:space="preserve">4.10.2 bullet 1</t>
  </si>
  <si>
    <t xml:space="preserve">A self-attestation is assessed and reported by the DTI's own second or third line resources, meaning internal functions that do not own or manage any of the risk; the text says these shall include the internal auditor, the corporate risk officer or the compliance officer.</t>
  </si>
  <si>
    <t xml:space="preserve">Self-attestation report naming its preparer and function, with a record showing that function owns and manages none of the risks assessed.</t>
  </si>
  <si>
    <t xml:space="preserve">4.10.2 bullet 2</t>
  </si>
  <si>
    <t xml:space="preserve">An independent attestation is assessed and reported by an independent external organization that already has cybersecurity assessment experience, using individual assessors who hold relevant security industry certifications.</t>
  </si>
  <si>
    <t xml:space="preserve">Engagement letter for the independent attestation; the firm's assessment experience and the certifications of each named assessor.</t>
  </si>
  <si>
    <t xml:space="preserve">4.10.3</t>
  </si>
  <si>
    <t xml:space="preserve">The DTI should use findings from external audits and information sharing to keep improving its cyber posture and adapt to threats and regulatory change.</t>
  </si>
  <si>
    <t xml:space="preserve">Findings tracker showing external findings with closure evidence.</t>
  </si>
  <si>
    <t xml:space="preserve">4.10.4</t>
  </si>
  <si>
    <t xml:space="preserve">External reports on vulnerability testing should be provided at least twice a year, and penetration testing at least once a year. The text does not say who the reports go to, and it is unclear whether 'external' also governs the penetration testing.</t>
  </si>
  <si>
    <t xml:space="preserve">Two external vulnerability test reports and one penetration test report in the last 12 months, covering the full in-scope asset list.</t>
  </si>
  <si>
    <t xml:space="preserve">5.0.1 bullet 1</t>
  </si>
  <si>
    <t xml:space="preserve">Board reporting</t>
  </si>
  <si>
    <t xml:space="preserve">Reporting to the Board should cover security breaches and incidents.</t>
  </si>
  <si>
    <t xml:space="preserve">Board cyber reports for the last four quarters showing this item.</t>
  </si>
  <si>
    <t xml:space="preserve">5.0.1 bullet 2</t>
  </si>
  <si>
    <t xml:space="preserve">Reporting to the Board should cover vulnerability scan and penetration test results.</t>
  </si>
  <si>
    <t xml:space="preserve">5.0.1 bullet 3</t>
  </si>
  <si>
    <t xml:space="preserve">Reporting to the Board should cover compliance with regulatory and industry requirements.</t>
  </si>
  <si>
    <t xml:space="preserve">5.0.1 bullet 4</t>
  </si>
  <si>
    <t xml:space="preserve">Reporting to the Board should cover staff awareness and training completion rates.</t>
  </si>
  <si>
    <t xml:space="preserve">5.0.1 bullet 5</t>
  </si>
  <si>
    <t xml:space="preserve">Reporting to the Board should cover the speed and effectiveness of incident response.</t>
  </si>
  <si>
    <t xml:space="preserve">5.0.2</t>
  </si>
  <si>
    <t xml:space="preserve">Senior management should give the Board a regular written report on the cyber resilience program, key risks and issues.</t>
  </si>
  <si>
    <t xml:space="preserve">Written reports to the Board for each period.</t>
  </si>
  <si>
    <t xml:space="preserve">5.0.3</t>
  </si>
  <si>
    <t xml:space="preserve">Board updates should include budgeting and forecasting of current and future cyber resource needs.</t>
  </si>
  <si>
    <t xml:space="preserve">Budget and forecast sections in Board updates.</t>
  </si>
  <si>
    <t xml:space="preserve">5.1.1</t>
  </si>
  <si>
    <t xml:space="preserve">Senior management must provide the Board with reports on how effective cybersecurity is (printed as "should must").</t>
  </si>
  <si>
    <t xml:space="preserve">Effectiveness reports to the Board for the last four quarters.</t>
  </si>
  <si>
    <t xml:space="preserve">5.1.1 bullet 1</t>
  </si>
  <si>
    <t xml:space="preserve">Board reporting metrics</t>
  </si>
  <si>
    <t xml:space="preserve">Board effectiveness reports should include recovery point objectives.</t>
  </si>
  <si>
    <t xml:space="preserve">Board report showing this metric with its source data and period.</t>
  </si>
  <si>
    <t xml:space="preserve">5.1.1 bullet 2</t>
  </si>
  <si>
    <t xml:space="preserve">Board effectiveness reports should include recovery time objectives.</t>
  </si>
  <si>
    <t xml:space="preserve">5.1.1 bullet 3</t>
  </si>
  <si>
    <t xml:space="preserve">Board effectiveness reports should include dwell time, meaning how long an attacker stays inside before removal.</t>
  </si>
  <si>
    <t xml:space="preserve">5.1.1 bullet 4</t>
  </si>
  <si>
    <t xml:space="preserve">Board effectiveness reports should include incidents detected and resolved in the period.</t>
  </si>
  <si>
    <t xml:space="preserve">5.1.1 bullet 5</t>
  </si>
  <si>
    <t xml:space="preserve">Board effectiveness reports should include the share of incidents prevented by proactive measures.</t>
  </si>
  <si>
    <t xml:space="preserve">5.1.1 bullet 6</t>
  </si>
  <si>
    <t xml:space="preserve">Board effectiveness reports should include false positives and false negatives from monitoring tools and work to reduce them.</t>
  </si>
  <si>
    <t xml:space="preserve">5.1.1 bullet 7</t>
  </si>
  <si>
    <t xml:space="preserve">Board effectiveness reports should include staff security awareness levels and training frequency.</t>
  </si>
  <si>
    <t xml:space="preserve">5.1.1 bullet 8</t>
  </si>
  <si>
    <t xml:space="preserve">Board effectiveness reports should include how often simulated phishing tests are run.</t>
  </si>
  <si>
    <t xml:space="preserve">5.1.1 bullet 9</t>
  </si>
  <si>
    <t xml:space="preserve">Board effectiveness reports should include the percentage of devices on the corporate network that have the latest security patches installed.</t>
  </si>
  <si>
    <t xml:space="preserve">5.1.1 bullet 10</t>
  </si>
  <si>
    <t xml:space="preserve">Board effectiveness reports should include the share of high-risk vulnerabilities resolved.</t>
  </si>
  <si>
    <t xml:space="preserve">5.1.1 bullet 11</t>
  </si>
  <si>
    <t xml:space="preserve">Board effectiveness reports should include the number of systems that failed vulnerability scans.</t>
  </si>
  <si>
    <t xml:space="preserve">5.1.1 bullet 12</t>
  </si>
  <si>
    <t xml:space="preserve">Board effectiveness reports should include incidents detected and responded to through automation.</t>
  </si>
  <si>
    <t xml:space="preserve">6.0.1</t>
  </si>
  <si>
    <t xml:space="preserve">Cyber resilience principles</t>
  </si>
  <si>
    <t xml:space="preserve">The Board is expected to adopt the FSSC Cyber Resilience Principles, and applying the ten principles across the DTI is expected to strengthen Board oversight and preparedness and foster collaboration with public and private partners.</t>
  </si>
  <si>
    <t xml:space="preserve">Board minute adopting the principles; mapping of each principle to the framework.</t>
  </si>
  <si>
    <t xml:space="preserve">6.0.2</t>
  </si>
  <si>
    <t xml:space="preserve">Culture</t>
  </si>
  <si>
    <t xml:space="preserve">The Board must make sure it holds senior management accountable for promoting a cyber risk-aware culture across the enterprise, and accountable for enforcing appropriate penalties for behavior that runs contrary to the DTI's corporate culture and values.</t>
  </si>
  <si>
    <t xml:space="preserve">Senior management objectives including culture measures; disciplinary policy covering security misconduct.</t>
  </si>
  <si>
    <t xml:space="preserve">6.1.1</t>
  </si>
  <si>
    <t xml:space="preserve">Senior management is expected to build risk awareness and responsibility across the organization.</t>
  </si>
  <si>
    <t xml:space="preserve">Culture program plan and awareness metrics.</t>
  </si>
  <si>
    <t xml:space="preserve">6.1.2</t>
  </si>
  <si>
    <t xml:space="preserve">Senior management should appoint a culture owner, who should use messages staff can understand.</t>
  </si>
  <si>
    <t xml:space="preserve">Appointment record of the culture owner and sample communications.</t>
  </si>
  <si>
    <t xml:space="preserve">6.1.3</t>
  </si>
  <si>
    <t xml:space="preserve">The culture owner should communicate key messages through several channels and formats.</t>
  </si>
  <si>
    <t xml:space="preserve">Culture owner</t>
  </si>
  <si>
    <t xml:space="preserve">Communications calendar showing channels used.</t>
  </si>
  <si>
    <t xml:space="preserve">6.1.4 bullet 1</t>
  </si>
  <si>
    <t xml:space="preserve">At leadership level, the Board and management must prioritize cybersecurity and align it with corporate values, and non-cyber executives, including the Board, must visibly support and model the mission.</t>
  </si>
  <si>
    <t xml:space="preserve">Leadership communications and leaders' training completion records.</t>
  </si>
  <si>
    <t xml:space="preserve">6.1.4 bullet 2</t>
  </si>
  <si>
    <t xml:space="preserve">Team leaders should encourage security discussion, and non-technical groups should seek guidance on device security.</t>
  </si>
  <si>
    <t xml:space="preserve">Team leaders and non-technical groups</t>
  </si>
  <si>
    <t xml:space="preserve">Team meeting records or guidance requests logged with the security team.</t>
  </si>
  <si>
    <t xml:space="preserve">6.1.4 bullet 3</t>
  </si>
  <si>
    <t xml:space="preserve">Employees should be able to recognize threats and feel able to act on them.</t>
  </si>
  <si>
    <t xml:space="preserve">Employees</t>
  </si>
  <si>
    <t xml:space="preserve">Phishing simulation report rates and staff reports of suspicious activity.</t>
  </si>
  <si>
    <t xml:space="preserve">6.1.5</t>
  </si>
  <si>
    <t xml:space="preserve">The DTI should make cybersecurity measures and mandatory training routine for everyone, possibly linked to performance reviews.</t>
  </si>
  <si>
    <t xml:space="preserve">Mandatory training completion for all staff and evidence of linkage to performance reviews where used.</t>
  </si>
  <si>
    <t xml:space="preserve">6.1.6</t>
  </si>
  <si>
    <t xml:space="preserve">Access control</t>
  </si>
  <si>
    <t xml:space="preserve">The DTI should apply least privilege to every access decision, including for Board members and senior management.</t>
  </si>
  <si>
    <t xml:space="preserve">Access reviews covering all accounts, including Board and executive accounts, with privileged account list in full.</t>
  </si>
  <si>
    <t xml:space="preserve">6.1.7</t>
  </si>
  <si>
    <t xml:space="preserve">The DTI should remove implicit trust in any single person, node or service on its core network, and instead require continuous verification of the operational picture, using real-time information from multiple sources, to decide access and other system responses.</t>
  </si>
  <si>
    <t xml:space="preserve">Zero trust or conditional access design and enforcement reports.</t>
  </si>
  <si>
    <t xml:space="preserve">6.1.8</t>
  </si>
  <si>
    <t xml:space="preserve">The Board must require job descriptions to set explicit ethical expectations and a duty to report misconduct.</t>
  </si>
  <si>
    <t xml:space="preserve">Sample of job descriptions across all roles showing the clauses; Board resolution or policy requiring them.</t>
  </si>
  <si>
    <t xml:space="preserve">6.2.2</t>
  </si>
  <si>
    <t xml:space="preserve">Cyber hygiene</t>
  </si>
  <si>
    <t xml:space="preserve">Whoever the device belongs to, including Board members, senior management, IT administrators and other groups with elevated privileges, controls must be in place by default to prevent all portable data storage media, personal computers and internet-of-things devices from accessing the DTI's core network. Prior approval for use of a device and routine scanning of media should be required.</t>
  </si>
  <si>
    <t xml:space="preserve">Device control and network access control configuration; approval and scan records for exceptions.</t>
  </si>
  <si>
    <t xml:space="preserve">6.2.3</t>
  </si>
  <si>
    <t xml:space="preserve">Board members, senior management, IT administrators and other user account groups must take extreme care when reviewing incoming emails and text messages, and where a message looks suspicious, should not click links, download attachments or otherwise interact with it.</t>
  </si>
  <si>
    <t xml:space="preserve">Board members, senior management, IT administrators and other user account groups</t>
  </si>
  <si>
    <t xml:space="preserve">Targeted phishing simulation results for privileged and executive users.</t>
  </si>
  <si>
    <t xml:space="preserve">6.2.4 item 1</t>
  </si>
  <si>
    <t xml:space="preserve">The Board must make sure policies require and enforce, for all users and devices, that they back up important data regularly, encrypted, offline and offsite.</t>
  </si>
  <si>
    <t xml:space="preserve">Backup schedule, encryption and offline copy evidence, and restore tests.</t>
  </si>
  <si>
    <t xml:space="preserve">6.2.4 item 2</t>
  </si>
  <si>
    <t xml:space="preserve">The Board must make sure policies require and enforce, for all users and devices, that they use long, complex passwords that are changed regularly.</t>
  </si>
  <si>
    <t xml:space="preserve">Password policy and directory configuration.</t>
  </si>
  <si>
    <t xml:space="preserve">6.2.4 item 3</t>
  </si>
  <si>
    <t xml:space="preserve">The Board must make sure policies require and enforce, for all users and devices, that they connect to secure, trusted and protected Wi-Fi networks.</t>
  </si>
  <si>
    <t xml:space="preserve">Wireless and remote access policy and configuration.</t>
  </si>
  <si>
    <t xml:space="preserve">6.2.4 item 4</t>
  </si>
  <si>
    <t xml:space="preserve">The Board must make sure policies require and enforce, for all users and devices, that they use multifactor authentication where possible.</t>
  </si>
  <si>
    <t xml:space="preserve">MFA coverage report against all user accounts.</t>
  </si>
  <si>
    <t xml:space="preserve">6.2.4 item 5</t>
  </si>
  <si>
    <t xml:space="preserve">The Board must make sure policies require and enforce, for all users and devices, that they install current patches from trusted sources.</t>
  </si>
  <si>
    <t xml:space="preserve">Patch compliance report against the full asset inventory.</t>
  </si>
  <si>
    <t xml:space="preserve">6.2.4 item 6</t>
  </si>
  <si>
    <t xml:space="preserve">The Board must make sure policies require and enforce, for all users and devices, that they give users only the permissions their roles require.</t>
  </si>
  <si>
    <t xml:space="preserve">Access review records for all systems.</t>
  </si>
  <si>
    <t xml:space="preserve">6.2.4 item 7</t>
  </si>
  <si>
    <t xml:space="preserve">The Board must make sure policies require and enforce, for all users and devices, that they run reputable, regularly updated antivirus and anti-malware software.</t>
  </si>
  <si>
    <t xml:space="preserve">Endpoint protection coverage and signature currency report.</t>
  </si>
  <si>
    <t xml:space="preserve">6.2.4 item 8</t>
  </si>
  <si>
    <t xml:space="preserve">The Board must make sure policies require and enforce, for all users and devices, that they recognize and report phishing and suspicious activity.</t>
  </si>
  <si>
    <t xml:space="preserve">Phishing report volumes and simulation results.</t>
  </si>
  <si>
    <t xml:space="preserve">6.2.4 item 9</t>
  </si>
  <si>
    <t xml:space="preserve">The Board must make sure policies require and enforce, for all users and devices, that they take care when sharing personal information.</t>
  </si>
  <si>
    <t xml:space="preserve">Acceptable use and data handling policy acknowledgments.</t>
  </si>
  <si>
    <t xml:space="preserve">6.2.4 item 10</t>
  </si>
  <si>
    <t xml:space="preserve">The Board must make sure policies require and enforce, for all users and devices, that they encrypt messages, storage media and devices that hold sensitive data.</t>
  </si>
  <si>
    <t xml:space="preserve">Encryption coverage report for laptops, mobiles and removable media.</t>
  </si>
  <si>
    <t xml:space="preserve">6.2.4 item 11</t>
  </si>
  <si>
    <t xml:space="preserve">The Board must make sure policies require and enforce, for all users and devices, that they review app privacy settings and permissions.</t>
  </si>
  <si>
    <t xml:space="preserve">Mobile device management policy and app permission reviews.</t>
  </si>
  <si>
    <t xml:space="preserve">6.2.4 item 12</t>
  </si>
  <si>
    <t xml:space="preserve">The Board must make sure policies require and enforce, for all users and devices, that data is deleted from desktop and mobile devices before they are disposed of, repurposed, donated, resold or recycled.</t>
  </si>
  <si>
    <t xml:space="preserve">Disposal and sanitization certificates for all retired devices.</t>
  </si>
  <si>
    <t xml:space="preserve">Appendix 2 (introduction)</t>
  </si>
  <si>
    <t xml:space="preserve">Financial institutions are expected to adopt the ten FSSC Cyber Resilience Principles as guiding concepts for managing cyber risk.</t>
  </si>
  <si>
    <t xml:space="preserve">Board resolution adopting the principles; mapping of each principle to the part of the framework that applies it.</t>
  </si>
  <si>
    <t xml:space="preserve">Appendix 3 (introduction)</t>
  </si>
  <si>
    <t xml:space="preserve">Board members must engage actively by asking the right questions about cyber risk. The appendix adds that boards should ask informed questions and that every board should explore the oversight themes and questions in its table.</t>
  </si>
  <si>
    <t xml:space="preserve">Board minutes recording questions put to management on the Appendix 3 themes and the answers received.</t>
  </si>
  <si>
    <t xml:space="preserve">Appendix 4</t>
  </si>
  <si>
    <t xml:space="preserve">Organizations must train users on the types of cyberattacks, reduce vulnerabilities and strengthen controls.</t>
  </si>
  <si>
    <t xml:space="preserve">Training content mapped to the attack types and completion records for all users.</t>
  </si>
  <si>
    <t xml:space="preserve">Reference</t>
  </si>
  <si>
    <t xml:space="preserve">Question for the board</t>
  </si>
  <si>
    <t xml:space="preserve">Answer</t>
  </si>
  <si>
    <t xml:space="preserve">What the answer rests on</t>
  </si>
  <si>
    <t xml:space="preserve">Follow-up owed by</t>
  </si>
  <si>
    <t xml:space="preserve">Appendix 3, A, Q1</t>
  </si>
  <si>
    <t xml:space="preserve">How strong is our cybersecurity posture today?</t>
  </si>
  <si>
    <t xml:space="preserve">Appendix 3, A, Q2</t>
  </si>
  <si>
    <t xml:space="preserve">Is a complete cybersecurity policy and governance structure in place?</t>
  </si>
  <si>
    <t xml:space="preserve">Appendix 3, A, Q3</t>
  </si>
  <si>
    <t xml:space="preserve">Do we have a written incident response plan, and has it been tested?</t>
  </si>
  <si>
    <t xml:space="preserve">Appendix 3, A, Q4</t>
  </si>
  <si>
    <t xml:space="preserve">Which cyber policies, procedures and training manuals are in place and when were they last updated, what measures would detect a breach, how many policy breaches have been reported since the policy took effect, how many were escalated, and why?</t>
  </si>
  <si>
    <t xml:space="preserve">Appendix 3, A, Q5</t>
  </si>
  <si>
    <t xml:space="preserve">Which business assets matter most to us, and how many layers of cyber and physical protection secure them and support their recovery?</t>
  </si>
  <si>
    <t xml:space="preserve">Appendix 3, B, Q6</t>
  </si>
  <si>
    <t xml:space="preserve">Which of our digital assets and data are most valuable?</t>
  </si>
  <si>
    <t xml:space="preserve">Appendix 3, B, Q7</t>
  </si>
  <si>
    <t xml:space="preserve">If someone tried to reach or damage our most critical assets or highly sensitive data, is the protection in place adequate, and what would it take for us to be confident those assets are protected?</t>
  </si>
  <si>
    <t xml:space="preserve">Appendix 3, C, Q8</t>
  </si>
  <si>
    <t xml:space="preserve">Do employees receive training at least twice a year, including on email and social media use?</t>
  </si>
  <si>
    <t xml:space="preserve">Appendix 3, C, Q9</t>
  </si>
  <si>
    <t xml:space="preserve">Is our spending on security tools and training well directed, and do we know whether it is cost-effective?</t>
  </si>
  <si>
    <t xml:space="preserve">Appendix 3, C, Q10</t>
  </si>
  <si>
    <t xml:space="preserve">Which metrics tell us whether awareness and training are working?</t>
  </si>
  <si>
    <t xml:space="preserve">Appendix 3, C, Q11</t>
  </si>
  <si>
    <t xml:space="preserve">When was the last phishing simulation, are results getting better, and how do we close what remains?</t>
  </si>
  <si>
    <t xml:space="preserve">Appendix 3, D, Q12</t>
  </si>
  <si>
    <t xml:space="preserve">Do we belong to any public or private cyber information-sharing groups, and should we?</t>
  </si>
  <si>
    <t xml:space="preserve">Appendix 3, E, Q13</t>
  </si>
  <si>
    <t xml:space="preserve">What impact could a cyberattack have on our business?</t>
  </si>
  <si>
    <t xml:space="preserve">Appendix 3, F, Q14</t>
  </si>
  <si>
    <t xml:space="preserve">How are we meeting cybersecurity regulatory requirements, what is still outstanding, and how will we close it?</t>
  </si>
  <si>
    <t xml:space="preserve">Appendix 3, G, Q15</t>
  </si>
  <si>
    <t xml:space="preserve">Which cybersecurity training and awareness programs do employees have access to?</t>
  </si>
  <si>
    <t xml:space="preserve">Appendix 3, H, Q16</t>
  </si>
  <si>
    <t xml:space="preserve">How often are security assessments and audits carried out, what do they show, and what extra resources or skills would close the gaps?</t>
  </si>
  <si>
    <t xml:space="preserve">Appendix 3, I, Q17</t>
  </si>
  <si>
    <t xml:space="preserve">What is in our incident response plan, and has it been exercised?</t>
  </si>
  <si>
    <t xml:space="preserve">Appendix 3, J, Q18</t>
  </si>
  <si>
    <t xml:space="preserve">What is the cybersecurity budget and how is it allocated?</t>
  </si>
  <si>
    <t xml:space="preserve">Appendix 3, K, Q19</t>
  </si>
  <si>
    <t xml:space="preserve">What cyber insurance do we carry and what does it cover?</t>
  </si>
  <si>
    <t xml:space="preserve">Appendix 3, L, Q20</t>
  </si>
  <si>
    <t xml:space="preserve">How do we manage cyber risk from third-party vendors?</t>
  </si>
  <si>
    <t xml:space="preserve">Appendix 3, M, Q21</t>
  </si>
  <si>
    <t xml:space="preserve">How do we monitor for and detect cybersecurity threats and incidents?</t>
  </si>
  <si>
    <t xml:space="preserve">Appendix 3, N, Q22</t>
  </si>
  <si>
    <t xml:space="preserve">Who leads cybersecurity and who is accountable at executive level, do we have the right talent and clear communication lines, and is cyber risk in the risk register?</t>
  </si>
  <si>
    <t xml:space="preserve">Appendix 3, O, Q23</t>
  </si>
  <si>
    <t xml:space="preserve">Which emerging cybersecurity technologies are we investing in?</t>
  </si>
  <si>
    <t xml:space="preserve">Appendix 3, P, Q24</t>
  </si>
  <si>
    <t xml:space="preserve">What is our long-range cybersecurity preparedness strategy?</t>
  </si>
  <si>
    <t xml:space="preserve">Appendix 3, Q, Q25</t>
  </si>
  <si>
    <t xml:space="preserve">How do we communicate cybersecurity matters to stakeholders such as customers and investors?</t>
  </si>
  <si>
    <t xml:space="preserve">Appendix 3, R, Q26</t>
  </si>
  <si>
    <t xml:space="preserve">Are there recent industry incidents or trends we should be aware of?</t>
  </si>
  <si>
    <t xml:space="preserve">Appendix 3, S, Q27</t>
  </si>
  <si>
    <t xml:space="preserve">How are backups taken, and on what media does IT store them?</t>
  </si>
  <si>
    <t xml:space="preserve">Appendix 3, S, Q28</t>
  </si>
  <si>
    <t xml:space="preserve">What is our backup retention policy, and do we plan to archive older backups?</t>
  </si>
  <si>
    <t xml:space="preserve">Appendix 3, S, Q29</t>
  </si>
  <si>
    <t xml:space="preserve">How long do we keep each type of data, and what sets those periods?</t>
  </si>
  <si>
    <t xml:space="preserve">Appendix 3, S, Q30</t>
  </si>
  <si>
    <t xml:space="preserve">How often are backups taken, and does each data type have its own schedule?</t>
  </si>
  <si>
    <t xml:space="preserve">Appendix 3, S, Q31</t>
  </si>
  <si>
    <t xml:space="preserve">Does the disaster recovery plan cover backup data?</t>
  </si>
  <si>
    <t xml:space="preserve">Appendix 3, S, Q32</t>
  </si>
  <si>
    <t xml:space="preserve">How do we detect and respond to backup failures or anomalies?</t>
  </si>
  <si>
    <t xml:space="preserve">Appendix 3, T, Q33</t>
  </si>
  <si>
    <t xml:space="preserve">What does the password policy require, and is it complex enough?</t>
  </si>
  <si>
    <t xml:space="preserve">Appendix 3, T, Q34</t>
  </si>
  <si>
    <t xml:space="preserve">Does the password policy meet industry standards and good practice?</t>
  </si>
  <si>
    <t xml:space="preserve">Appendix 3, T, Q35</t>
  </si>
  <si>
    <t xml:space="preserve">How often does the expiration policy require employees to change passwords?</t>
  </si>
  <si>
    <t xml:space="preserve">Appendix 3, T, Q36</t>
  </si>
  <si>
    <t xml:space="preserve">Is there a process to remove access promptly when someone leaves?</t>
  </si>
  <si>
    <t xml:space="preserve">Appendix 3, T, Q37</t>
  </si>
  <si>
    <t xml:space="preserve">How many former, promoted or transferred employees still hold access from earlier roles, and what is being done about it?</t>
  </si>
  <si>
    <t xml:space="preserve">Appendix 3, T, Q38</t>
  </si>
  <si>
    <t xml:space="preserve">Are any privileged users due to leave the organization soon?</t>
  </si>
  <si>
    <t xml:space="preserve">Appendix 3, U, Q39</t>
  </si>
  <si>
    <t xml:space="preserve">How often are critical patches and updates applied across the network?</t>
  </si>
  <si>
    <t xml:space="preserve">Appendix 3, U, Q40</t>
  </si>
  <si>
    <t xml:space="preserve">How fast are critical or emergency patches deployed?</t>
  </si>
  <si>
    <t xml:space="preserve">Appendix 3, V, Q41</t>
  </si>
  <si>
    <t xml:space="preserve">Does our email filtering reject messages from spoofed or look-alike senders?</t>
  </si>
  <si>
    <t xml:space="preserve">Appendix 3, V, Q42</t>
  </si>
  <si>
    <t xml:space="preserve">How do we respond to detected phishing or an email security breach?</t>
  </si>
  <si>
    <t xml:space="preserve">Appendix 3, V, Q43</t>
  </si>
  <si>
    <t xml:space="preserve">How are email attachments and downloads scanned for malware and other threats?</t>
  </si>
  <si>
    <t xml:space="preserve">Appendix 3, V, Q44</t>
  </si>
  <si>
    <t xml:space="preserve">Are MFA and strong password rules enforced on email accounts?</t>
  </si>
  <si>
    <t xml:space="preserve">Appendix 3, V, Q45</t>
  </si>
  <si>
    <t xml:space="preserve">Do we test email security regularly through phishing simulations and assessments?</t>
  </si>
  <si>
    <t xml:space="preserve">Appendix 3, W, Q46</t>
  </si>
  <si>
    <t xml:space="preserve">Is IT staffed well enough to handle security alerts alongside patching, applications, cloud and daily operations?</t>
  </si>
  <si>
    <t xml:space="preserve">Appendix 3, W, Q47</t>
  </si>
  <si>
    <t xml:space="preserve">What state is our IT infrastructure in, and how well does it support business goals?</t>
  </si>
  <si>
    <t xml:space="preserve">Appendix 3, W, Q48</t>
  </si>
  <si>
    <t xml:space="preserve">What is the IT workload, and does the team have the resources to carry it?</t>
  </si>
  <si>
    <t xml:space="preserve">Appendix 3, W, Q49</t>
  </si>
  <si>
    <t xml:space="preserve">Does the IT team have skill gaps, and if so, which areas need improvement?</t>
  </si>
  <si>
    <t xml:space="preserve">Appendix 3, W, Q50</t>
  </si>
  <si>
    <t xml:space="preserve">Is the cybersecurity budget in line with industry benchmarks and our risk profile?</t>
  </si>
  <si>
    <t xml:space="preserve">Appendix 3, W, Q51</t>
  </si>
  <si>
    <t xml:space="preserve">Which cybersecurity skills are we missing internally?</t>
  </si>
  <si>
    <t xml:space="preserve">Appendix 3, W, Q52</t>
  </si>
  <si>
    <t xml:space="preserve">Do we assess IT and cybersecurity capacity regularly, and which gaps or concerning findings keep recurring?</t>
  </si>
  <si>
    <t xml:space="preserve">Appendix 3, X, Q53</t>
  </si>
  <si>
    <t xml:space="preserve">How do we assess and manage cyber risk from vendors and suppliers?</t>
  </si>
  <si>
    <t xml:space="preserve">Appendix 3, X, Q54</t>
  </si>
  <si>
    <t xml:space="preserve">What due diligence happens before a new vendor or partner is onboarded?</t>
  </si>
  <si>
    <t xml:space="preserve">Appendix 3, X, Q55</t>
  </si>
  <si>
    <t xml:space="preserve">Are vendors ranked or grouped by their potential security impact on us?</t>
  </si>
  <si>
    <t xml:space="preserve">Appendix 3, X, Q56</t>
  </si>
  <si>
    <t xml:space="preserve">Do vendor contracts set out cybersecurity requirements and responsibilities?</t>
  </si>
  <si>
    <t xml:space="preserve">Appendix 3, X, Q57</t>
  </si>
  <si>
    <t xml:space="preserve">How do we track vendors' ongoing compliance with their security obligations?</t>
  </si>
  <si>
    <t xml:space="preserve">Appendix 3, X, Q58</t>
  </si>
  <si>
    <t xml:space="preserve">How can vendors notify us of a cyber incident or breach on their side?</t>
  </si>
  <si>
    <t xml:space="preserve">Appendix 3, X, Q59</t>
  </si>
  <si>
    <t xml:space="preserve">How do we confirm vendors meet applicable cybersecurity regulations and standards?</t>
  </si>
  <si>
    <t xml:space="preserve">Appendix 3, X, Q60</t>
  </si>
  <si>
    <t xml:space="preserve">If a critical vendor suffers an incident or outage, do we have alternatives or a contingency plan?</t>
  </si>
  <si>
    <t xml:space="preserve">Position against the regulator</t>
  </si>
  <si>
    <t xml:space="preserve">Calculated from the working sheets. Do not type in the shaded cells.</t>
  </si>
  <si>
    <t xml:space="preserve">REQUIREMENTS</t>
  </si>
  <si>
    <t xml:space="preserve">Requirements in the checklist</t>
  </si>
  <si>
    <t xml:space="preserve">Met</t>
  </si>
  <si>
    <t xml:space="preserve">Partly met</t>
  </si>
  <si>
    <t xml:space="preserve">Not met</t>
  </si>
  <si>
    <t xml:space="preserve">Not applicable</t>
  </si>
  <si>
    <t xml:space="preserve">Met, as a share of applicable requirements</t>
  </si>
  <si>
    <t xml:space="preserve">BY STRENGTH</t>
  </si>
  <si>
    <t xml:space="preserve">Rows</t>
  </si>
  <si>
    <t xml:space="preserve">Must requirements not met are the gaps a supervisor raises first.</t>
  </si>
  <si>
    <t xml:space="preserve">BY AREA</t>
  </si>
  <si>
    <t xml:space="preserve">BOARD QUESTIONS</t>
  </si>
  <si>
    <t xml:space="preserve">Questions</t>
  </si>
  <si>
    <t xml:space="preserve">Yes</t>
  </si>
  <si>
    <t xml:space="preserve">Partly</t>
  </si>
  <si>
    <t xml:space="preserve">No</t>
  </si>
  <si>
    <t xml:space="preserve">Don't know</t>
  </si>
  <si>
    <t xml:space="preserve">Not yet answered</t>
  </si>
</sst>
</file>

<file path=xl/styles.xml><?xml version="1.0" encoding="utf-8"?>
<styleSheet xmlns="http://schemas.openxmlformats.org/spreadsheetml/2006/main">
  <numFmts count="4">
    <numFmt numFmtId="164" formatCode="General"/>
    <numFmt numFmtId="165" formatCode="yyyy\-mm\-dd"/>
    <numFmt numFmtId="166" formatCode="General"/>
    <numFmt numFmtId="167" formatCode="0%"/>
  </numFmts>
  <fonts count="25">
    <font>
      <sz val="11"/>
      <color theme="1"/>
      <name val="Calibri"/>
      <family val="2"/>
      <charset val="1"/>
    </font>
    <font>
      <sz val="10"/>
      <name val="Arial"/>
      <family val="0"/>
    </font>
    <font>
      <sz val="10"/>
      <name val="Arial"/>
      <family val="0"/>
    </font>
    <font>
      <sz val="10"/>
      <name val="Arial"/>
      <family val="0"/>
    </font>
    <font>
      <b val="true"/>
      <sz val="20"/>
      <color rgb="FFFFFFFF"/>
      <name val="Arial"/>
      <family val="0"/>
      <charset val="1"/>
    </font>
    <font>
      <b val="true"/>
      <sz val="8"/>
      <color rgb="FFE86A2A"/>
      <name val="Arial"/>
      <family val="0"/>
      <charset val="1"/>
    </font>
    <font>
      <b val="true"/>
      <sz val="15"/>
      <color rgb="FFFFFFFF"/>
      <name val="Arial"/>
      <family val="0"/>
      <charset val="1"/>
    </font>
    <font>
      <sz val="10"/>
      <color rgb="FF6B6560"/>
      <name val="Arial"/>
      <family val="0"/>
      <charset val="1"/>
    </font>
    <font>
      <b val="true"/>
      <sz val="8"/>
      <color rgb="FFB5501C"/>
      <name val="Arial"/>
      <family val="0"/>
      <charset val="1"/>
    </font>
    <font>
      <sz val="9"/>
      <color rgb="FF6B6560"/>
      <name val="Arial"/>
      <family val="0"/>
      <charset val="1"/>
    </font>
    <font>
      <b val="true"/>
      <sz val="9"/>
      <color rgb="FFB5501C"/>
      <name val="Arial"/>
      <family val="0"/>
      <charset val="1"/>
    </font>
    <font>
      <sz val="9"/>
      <color rgb="FF111111"/>
      <name val="Arial"/>
      <family val="0"/>
      <charset val="1"/>
    </font>
    <font>
      <sz val="10"/>
      <color rgb="FF111111"/>
      <name val="Arial"/>
      <family val="0"/>
      <charset val="1"/>
    </font>
    <font>
      <b val="true"/>
      <sz val="10"/>
      <color rgb="FFE86A2A"/>
      <name val="Arial"/>
      <family val="0"/>
      <charset val="1"/>
    </font>
    <font>
      <b val="true"/>
      <sz val="10"/>
      <color rgb="FFB5501C"/>
      <name val="Arial"/>
      <family val="0"/>
      <charset val="1"/>
    </font>
    <font>
      <sz val="8"/>
      <color rgb="FF6B6560"/>
      <name val="Arial"/>
      <family val="0"/>
      <charset val="1"/>
    </font>
    <font>
      <b val="true"/>
      <sz val="15"/>
      <color rgb="FF1F1F1F"/>
      <name val="Arial"/>
      <family val="0"/>
      <charset val="1"/>
    </font>
    <font>
      <sz val="9"/>
      <color rgb="FF6E6E6E"/>
      <name val="Arial"/>
      <family val="0"/>
      <charset val="1"/>
    </font>
    <font>
      <b val="true"/>
      <sz val="11"/>
      <color rgb="FF1F1F1F"/>
      <name val="Arial"/>
      <family val="0"/>
      <charset val="1"/>
    </font>
    <font>
      <sz val="10"/>
      <name val="Arial"/>
      <family val="0"/>
      <charset val="1"/>
    </font>
    <font>
      <b val="true"/>
      <sz val="10"/>
      <name val="Arial"/>
      <family val="0"/>
      <charset val="1"/>
    </font>
    <font>
      <b val="true"/>
      <sz val="10"/>
      <color rgb="FFFFFFFF"/>
      <name val="Arial"/>
      <family val="0"/>
      <charset val="1"/>
    </font>
    <font>
      <sz val="9"/>
      <name val="Arial"/>
      <family val="0"/>
      <charset val="1"/>
    </font>
    <font>
      <b val="true"/>
      <sz val="9"/>
      <name val="Arial"/>
      <family val="0"/>
      <charset val="1"/>
    </font>
    <font>
      <b val="true"/>
      <sz val="9"/>
      <color rgb="FFFFFFFF"/>
      <name val="Arial"/>
      <family val="0"/>
      <charset val="1"/>
    </font>
  </fonts>
  <fills count="6">
    <fill>
      <patternFill patternType="none"/>
    </fill>
    <fill>
      <patternFill patternType="gray125"/>
    </fill>
    <fill>
      <patternFill patternType="solid">
        <fgColor rgb="FF111111"/>
        <bgColor rgb="FF1F1F1F"/>
      </patternFill>
    </fill>
    <fill>
      <patternFill patternType="solid">
        <fgColor rgb="FFFAF3EE"/>
        <bgColor rgb="FFEEEEEE"/>
      </patternFill>
    </fill>
    <fill>
      <patternFill patternType="solid">
        <fgColor rgb="FF1F1F1F"/>
        <bgColor rgb="FF111111"/>
      </patternFill>
    </fill>
    <fill>
      <patternFill patternType="solid">
        <fgColor rgb="FFFFFFFF"/>
        <bgColor rgb="FFFAF3EE"/>
      </patternFill>
    </fill>
  </fills>
  <borders count="2">
    <border diagonalUp="false" diagonalDown="false">
      <left/>
      <right/>
      <top/>
      <bottom/>
      <diagonal/>
    </border>
    <border diagonalUp="false" diagonalDown="false">
      <left style="thin">
        <color rgb="FFE8E8E8"/>
      </left>
      <right style="thin">
        <color rgb="FFE8E8E8"/>
      </right>
      <top style="thin">
        <color rgb="FFE8E8E8"/>
      </top>
      <bottom style="thin">
        <color rgb="FFE8E8E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right" vertical="top" textRotation="0" wrapText="fals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12" fillId="3" borderId="0" xfId="0" applyFont="true" applyBorder="true" applyAlignment="true" applyProtection="false">
      <alignment horizontal="general" vertical="top" textRotation="0" wrapText="true" indent="0" shrinkToFit="false"/>
      <protection locked="true" hidden="false"/>
    </xf>
    <xf numFmtId="164" fontId="14" fillId="3"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top" textRotation="0" wrapText="true" indent="0" shrinkToFit="false"/>
      <protection locked="true" hidden="false"/>
    </xf>
    <xf numFmtId="164" fontId="20"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21" fillId="4" borderId="1" xfId="0" applyFont="true" applyBorder="true" applyAlignment="true" applyProtection="false">
      <alignment horizontal="general" vertical="center" textRotation="0" wrapText="true" indent="0" shrinkToFit="false"/>
      <protection locked="true" hidden="false"/>
    </xf>
    <xf numFmtId="164" fontId="22" fillId="5" borderId="1" xfId="0" applyFont="true" applyBorder="true" applyAlignment="true" applyProtection="false">
      <alignment horizontal="general" vertical="top" textRotation="0" wrapText="true" indent="0" shrinkToFit="false"/>
      <protection locked="true" hidden="false"/>
    </xf>
    <xf numFmtId="164" fontId="23" fillId="5" borderId="1" xfId="0" applyFont="true" applyBorder="true" applyAlignment="true" applyProtection="false">
      <alignment horizontal="general" vertical="top" textRotation="0" wrapText="true" indent="0" shrinkToFit="false"/>
      <protection locked="true" hidden="false"/>
    </xf>
    <xf numFmtId="165" fontId="22" fillId="5" borderId="1" xfId="0" applyFont="true" applyBorder="true" applyAlignment="true" applyProtection="false">
      <alignment horizontal="general" vertical="top" textRotation="0" wrapText="true" indent="0" shrinkToFit="false"/>
      <protection locked="true" hidden="false"/>
    </xf>
    <xf numFmtId="164" fontId="22" fillId="3" borderId="1" xfId="0" applyFont="true" applyBorder="true" applyAlignment="true" applyProtection="false">
      <alignment horizontal="general" vertical="top" textRotation="0" wrapText="true" indent="0" shrinkToFit="false"/>
      <protection locked="true" hidden="false"/>
    </xf>
    <xf numFmtId="164" fontId="23" fillId="3" borderId="1" xfId="0" applyFont="true" applyBorder="true" applyAlignment="true" applyProtection="false">
      <alignment horizontal="general" vertical="top" textRotation="0" wrapText="true" indent="0" shrinkToFit="false"/>
      <protection locked="true" hidden="false"/>
    </xf>
    <xf numFmtId="165" fontId="22" fillId="3" borderId="1" xfId="0" applyFont="true" applyBorder="true" applyAlignment="true" applyProtection="false">
      <alignment horizontal="general" vertical="top" textRotation="0" wrapText="true" indent="0" shrinkToFit="false"/>
      <protection locked="true" hidden="false"/>
    </xf>
    <xf numFmtId="164" fontId="10" fillId="5" borderId="1"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4" fontId="19" fillId="0" borderId="1" xfId="0" applyFont="true" applyBorder="true" applyAlignment="true" applyProtection="false">
      <alignment horizontal="general" vertical="center" textRotation="0" wrapText="true" indent="0" shrinkToFit="false"/>
      <protection locked="true" hidden="false"/>
    </xf>
    <xf numFmtId="166" fontId="19" fillId="3" borderId="1" xfId="0" applyFont="true" applyBorder="true" applyAlignment="true" applyProtection="false">
      <alignment horizontal="general" vertical="center" textRotation="0" wrapText="false" indent="0" shrinkToFit="false"/>
      <protection locked="true" hidden="false"/>
    </xf>
    <xf numFmtId="167" fontId="19" fillId="3" borderId="1" xfId="0" applyFont="true" applyBorder="true" applyAlignment="true" applyProtection="false">
      <alignment horizontal="general" vertical="center" textRotation="0" wrapText="false" indent="0" shrinkToFit="false"/>
      <protection locked="true" hidden="false"/>
    </xf>
    <xf numFmtId="164" fontId="24" fillId="4" borderId="0" xfId="0" applyFont="true" applyBorder="false" applyAlignment="true" applyProtection="false">
      <alignment horizontal="general" vertical="center"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1F1F1F"/>
          <bgColor rgb="FF000000"/>
        </patternFill>
      </fill>
    </dxf>
    <dxf>
      <fill>
        <patternFill patternType="solid">
          <fgColor rgb="FFFAF3EE"/>
          <bgColor rgb="FF000000"/>
        </patternFill>
      </fill>
    </dxf>
    <dxf>
      <fill>
        <patternFill patternType="solid">
          <fgColor rgb="FFFFFFFF"/>
          <bgColor rgb="FF000000"/>
        </patternFill>
      </fill>
    </dxf>
    <dxf>
      <fill>
        <patternFill patternType="solid">
          <bgColor rgb="FF000000"/>
        </patternFill>
      </fill>
    </dxf>
    <dxf>
      <fill>
        <patternFill patternType="solid">
          <fgColor rgb="FFB5501C"/>
          <bgColor rgb="FF000000"/>
        </patternFill>
      </fill>
    </dxf>
    <dxf>
      <fill>
        <patternFill>
          <bgColor rgb="FFE3F1E6"/>
        </patternFill>
      </fill>
    </dxf>
    <dxf>
      <fill>
        <patternFill>
          <bgColor rgb="FFFFF1D6"/>
        </patternFill>
      </fill>
    </dxf>
    <dxf>
      <fill>
        <patternFill>
          <bgColor rgb="FFF9DEDA"/>
        </patternFill>
      </fill>
    </dxf>
    <dxf>
      <fill>
        <patternFill>
          <bgColor rgb="FFEEEEEE"/>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6B6560"/>
      <rgbColor rgb="FF9999FF"/>
      <rgbColor rgb="FF993366"/>
      <rgbColor rgb="FFFFF1D6"/>
      <rgbColor rgb="FFE3F1E6"/>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EEEEE"/>
      <rgbColor rgb="FFE8E8E8"/>
      <rgbColor rgb="FFFAF3EE"/>
      <rgbColor rgb="FF99CCFF"/>
      <rgbColor rgb="FFFF99CC"/>
      <rgbColor rgb="FFCC99FF"/>
      <rgbColor rgb="FFF9DEDA"/>
      <rgbColor rgb="FF3366FF"/>
      <rgbColor rgb="FF33CCCC"/>
      <rgbColor rgb="FF99CC00"/>
      <rgbColor rgb="FFFFCC00"/>
      <rgbColor rgb="FFFF9900"/>
      <rgbColor rgb="FFE86A2A"/>
      <rgbColor rgb="FF6E6E6E"/>
      <rgbColor rgb="FF969696"/>
      <rgbColor rgb="FF003366"/>
      <rgbColor rgb="FF339966"/>
      <rgbColor rgb="FF111111"/>
      <rgbColor rgb="FF333300"/>
      <rgbColor rgb="FFB5501C"/>
      <rgbColor rgb="FF993366"/>
      <rgbColor rgb="FF333399"/>
      <rgbColor rgb="FF1F1F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62"/>
    <col collapsed="false" customWidth="true" hidden="false" outlineLevel="0" max="4" min="4" style="0" width="3"/>
  </cols>
  <sheetData>
    <row r="1" customFormat="false" ht="9.75" hidden="false" customHeight="true" outlineLevel="0" collapsed="false"/>
    <row r="2" customFormat="false" ht="27.75" hidden="false" customHeight="true" outlineLevel="0" collapsed="false">
      <c r="B2" s="1" t="s">
        <v>0</v>
      </c>
      <c r="C2" s="2"/>
    </row>
    <row r="3" customFormat="false" ht="12.75" hidden="false" customHeight="true" outlineLevel="0" collapsed="false">
      <c r="B3" s="3" t="s">
        <v>1</v>
      </c>
      <c r="C3" s="2"/>
    </row>
    <row r="4" customFormat="false" ht="15" hidden="false" customHeight="false" outlineLevel="0" collapsed="false">
      <c r="B4" s="2"/>
      <c r="C4" s="2"/>
    </row>
    <row r="5" customFormat="false" ht="24" hidden="false" customHeight="true" outlineLevel="0" collapsed="false">
      <c r="B5" s="4" t="s">
        <v>2</v>
      </c>
      <c r="C5" s="2"/>
    </row>
    <row r="6" customFormat="false" ht="7.5" hidden="false" customHeight="true" outlineLevel="0" collapsed="false"/>
    <row r="7" customFormat="false" ht="19.5" hidden="false" customHeight="true" outlineLevel="0" collapsed="false">
      <c r="B7" s="5" t="s">
        <v>3</v>
      </c>
    </row>
    <row r="9" customFormat="false" ht="18" hidden="false" customHeight="true" outlineLevel="0" collapsed="false">
      <c r="B9" s="6" t="s">
        <v>4</v>
      </c>
    </row>
    <row r="10" customFormat="false" ht="15.75" hidden="false" customHeight="true" outlineLevel="0" collapsed="false">
      <c r="B10" s="7" t="s">
        <v>5</v>
      </c>
      <c r="C10" s="8" t="s">
        <v>6</v>
      </c>
    </row>
    <row r="11" customFormat="false" ht="15.75" hidden="false" customHeight="true" outlineLevel="0" collapsed="false">
      <c r="B11" s="9" t="s">
        <v>7</v>
      </c>
      <c r="C11" s="10" t="s">
        <v>8</v>
      </c>
    </row>
    <row r="12" customFormat="false" ht="15.75" hidden="false" customHeight="true" outlineLevel="0" collapsed="false">
      <c r="B12" s="7" t="s">
        <v>9</v>
      </c>
      <c r="C12" s="11" t="s">
        <v>10</v>
      </c>
    </row>
    <row r="13" customFormat="false" ht="15.75" hidden="false" customHeight="true" outlineLevel="0" collapsed="false">
      <c r="B13" s="9" t="s">
        <v>11</v>
      </c>
      <c r="C13" s="10" t="s">
        <v>12</v>
      </c>
    </row>
    <row r="14" customFormat="false" ht="15.75" hidden="false" customHeight="true" outlineLevel="0" collapsed="false">
      <c r="B14" s="7" t="s">
        <v>13</v>
      </c>
      <c r="C14" s="11" t="s">
        <v>14</v>
      </c>
    </row>
    <row r="16" customFormat="false" ht="15" hidden="false" customHeight="false" outlineLevel="0" collapsed="false">
      <c r="B16" s="6" t="s">
        <v>15</v>
      </c>
    </row>
    <row r="17" customFormat="false" ht="60" hidden="false" customHeight="true" outlineLevel="0" collapsed="false">
      <c r="B17" s="12" t="s">
        <v>16</v>
      </c>
      <c r="C17" s="12"/>
    </row>
    <row r="19" customFormat="false" ht="15" hidden="false" customHeight="false" outlineLevel="0" collapsed="false">
      <c r="B19" s="6" t="s">
        <v>17</v>
      </c>
    </row>
    <row r="20" customFormat="false" ht="45" hidden="false" customHeight="true" outlineLevel="0" collapsed="false">
      <c r="B20" s="13" t="s">
        <v>18</v>
      </c>
      <c r="C20" s="13"/>
    </row>
    <row r="22" customFormat="false" ht="15" hidden="false" customHeight="false" outlineLevel="0" collapsed="false">
      <c r="B22" s="6" t="s">
        <v>19</v>
      </c>
    </row>
    <row r="23" customFormat="false" ht="30" hidden="false" customHeight="true" outlineLevel="0" collapsed="false">
      <c r="B23" s="14" t="s">
        <v>20</v>
      </c>
      <c r="C23" s="15" t="s">
        <v>21</v>
      </c>
    </row>
    <row r="24" customFormat="false" ht="30" hidden="false" customHeight="true" outlineLevel="0" collapsed="false">
      <c r="B24" s="14" t="s">
        <v>22</v>
      </c>
      <c r="C24" s="15" t="s">
        <v>23</v>
      </c>
    </row>
    <row r="25" customFormat="false" ht="30" hidden="false" customHeight="true" outlineLevel="0" collapsed="false">
      <c r="B25" s="14" t="s">
        <v>24</v>
      </c>
      <c r="C25" s="15" t="s">
        <v>25</v>
      </c>
    </row>
    <row r="26" customFormat="false" ht="30" hidden="false" customHeight="true" outlineLevel="0" collapsed="false">
      <c r="B26" s="14" t="s">
        <v>26</v>
      </c>
      <c r="C26" s="15" t="s">
        <v>27</v>
      </c>
    </row>
    <row r="27" customFormat="false" ht="30" hidden="false" customHeight="true" outlineLevel="0" collapsed="false">
      <c r="B27" s="14" t="s">
        <v>28</v>
      </c>
      <c r="C27" s="15" t="s">
        <v>29</v>
      </c>
    </row>
    <row r="29" customFormat="false" ht="15" hidden="false" customHeight="false" outlineLevel="0" collapsed="false">
      <c r="B29" s="16" t="s">
        <v>30</v>
      </c>
      <c r="C29" s="17"/>
    </row>
    <row r="30" customFormat="false" ht="45" hidden="false" customHeight="true" outlineLevel="0" collapsed="false">
      <c r="B30" s="18" t="s">
        <v>31</v>
      </c>
      <c r="C30" s="18"/>
    </row>
    <row r="31" customFormat="false" ht="15" hidden="false" customHeight="false" outlineLevel="0" collapsed="false">
      <c r="B31" s="19" t="s">
        <v>32</v>
      </c>
      <c r="C31" s="19" t="s">
        <v>33</v>
      </c>
    </row>
    <row r="33" customFormat="false" ht="15" hidden="false" customHeight="false" outlineLevel="0" collapsed="false">
      <c r="B33" s="20" t="s">
        <v>34</v>
      </c>
    </row>
  </sheetData>
  <mergeCells count="3">
    <mergeCell ref="B17:C17"/>
    <mergeCell ref="B20:C20"/>
    <mergeCell ref="B30:C30"/>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92"/>
  </cols>
  <sheetData>
    <row r="2" customFormat="false" ht="18.55" hidden="false" customHeight="false" outlineLevel="0" collapsed="false">
      <c r="B2" s="21" t="s">
        <v>2</v>
      </c>
    </row>
    <row r="3" customFormat="false" ht="15" hidden="false" customHeight="false" outlineLevel="0" collapsed="false">
      <c r="B3" s="22" t="s">
        <v>35</v>
      </c>
    </row>
    <row r="5" customFormat="false" ht="15" hidden="false" customHeight="false" outlineLevel="0" collapsed="false">
      <c r="B5" s="23" t="s">
        <v>36</v>
      </c>
    </row>
    <row r="6" customFormat="false" ht="27.75" hidden="false" customHeight="true" outlineLevel="0" collapsed="false">
      <c r="C6" s="24" t="s">
        <v>37</v>
      </c>
    </row>
    <row r="7" customFormat="false" ht="15" hidden="false" customHeight="false" outlineLevel="0" collapsed="false">
      <c r="B7" s="23" t="s">
        <v>38</v>
      </c>
    </row>
    <row r="8" customFormat="false" ht="69.75" hidden="false" customHeight="true" outlineLevel="0" collapsed="false">
      <c r="B8" s="25" t="s">
        <v>39</v>
      </c>
      <c r="C8" s="24" t="s">
        <v>40</v>
      </c>
    </row>
    <row r="9" customFormat="false" ht="13.5" hidden="false" customHeight="true" outlineLevel="0" collapsed="false">
      <c r="B9" s="25" t="s">
        <v>41</v>
      </c>
      <c r="C9" s="24" t="s">
        <v>42</v>
      </c>
    </row>
    <row r="10" customFormat="false" ht="27.75" hidden="false" customHeight="true" outlineLevel="0" collapsed="false">
      <c r="B10" s="25" t="s">
        <v>43</v>
      </c>
      <c r="C10" s="24" t="s">
        <v>44</v>
      </c>
    </row>
    <row r="11" customFormat="false" ht="55.5" hidden="false" customHeight="true" outlineLevel="0" collapsed="false">
      <c r="B11" s="25" t="s">
        <v>45</v>
      </c>
      <c r="C11" s="24" t="s">
        <v>46</v>
      </c>
    </row>
    <row r="12" customFormat="false" ht="27.75" hidden="false" customHeight="true" outlineLevel="0" collapsed="false">
      <c r="B12" s="25" t="s">
        <v>47</v>
      </c>
      <c r="C12" s="24" t="s">
        <v>48</v>
      </c>
    </row>
    <row r="13" customFormat="false" ht="15" hidden="false" customHeight="false" outlineLevel="0" collapsed="false">
      <c r="B13" s="23" t="s">
        <v>49</v>
      </c>
    </row>
    <row r="14" customFormat="false" ht="13.5" hidden="false" customHeight="true" outlineLevel="0" collapsed="false">
      <c r="B14" s="25" t="s">
        <v>11</v>
      </c>
      <c r="C14" s="24" t="s">
        <v>50</v>
      </c>
    </row>
    <row r="15" customFormat="false" ht="27.75" hidden="false" customHeight="true" outlineLevel="0" collapsed="false">
      <c r="B15" s="25" t="s">
        <v>51</v>
      </c>
      <c r="C15" s="24" t="s">
        <v>52</v>
      </c>
    </row>
    <row r="16" customFormat="false" ht="13.5" hidden="false" customHeight="true" outlineLevel="0" collapsed="false">
      <c r="B16" s="25" t="s">
        <v>53</v>
      </c>
      <c r="C16" s="24" t="s">
        <v>54</v>
      </c>
    </row>
    <row r="17" customFormat="false" ht="27.75" hidden="false" customHeight="true" outlineLevel="0" collapsed="false">
      <c r="B17" s="25" t="s">
        <v>55</v>
      </c>
      <c r="C17" s="24" t="s">
        <v>56</v>
      </c>
    </row>
    <row r="18" customFormat="false" ht="15" hidden="false" customHeight="false" outlineLevel="0" collapsed="false">
      <c r="B18" s="23" t="s">
        <v>57</v>
      </c>
    </row>
    <row r="19" customFormat="false" ht="27.75" hidden="false" customHeight="true" outlineLevel="0" collapsed="false">
      <c r="C19" s="24" t="s">
        <v>58</v>
      </c>
    </row>
    <row r="21" customFormat="false" ht="15" hidden="false" customHeight="false" outlineLevel="0" collapsed="false">
      <c r="B21" s="26" t="s">
        <v>33</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1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1" topLeftCell="E2" activePane="bottomRight" state="frozen"/>
      <selection pane="topLeft" activeCell="A1" activeCellId="0" sqref="A1"/>
      <selection pane="topRight" activeCell="E1" activeCellId="0" sqref="E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6"/>
    <col collapsed="false" customWidth="true" hidden="false" outlineLevel="0" max="3" min="3" style="0" width="20"/>
    <col collapsed="false" customWidth="true" hidden="false" outlineLevel="0" max="4" min="4" style="0" width="58"/>
    <col collapsed="false" customWidth="true" hidden="false" outlineLevel="0" max="5" min="5" style="0" width="10"/>
    <col collapsed="false" customWidth="true" hidden="false" outlineLevel="0" max="6" min="6" style="0" width="18"/>
    <col collapsed="false" customWidth="true" hidden="false" outlineLevel="0" max="7" min="7" style="0" width="50"/>
    <col collapsed="false" customWidth="true" hidden="false" outlineLevel="0" max="8" min="8" style="0" width="13"/>
    <col collapsed="false" customWidth="true" hidden="false" outlineLevel="0" max="9" min="9" style="0" width="26"/>
    <col collapsed="false" customWidth="true" hidden="false" outlineLevel="0" max="10" min="10" style="0" width="18"/>
    <col collapsed="false" customWidth="true" hidden="false" outlineLevel="0" max="11" min="11" style="0" width="13"/>
    <col collapsed="false" customWidth="true" hidden="false" outlineLevel="0" max="12" min="12" style="0" width="30"/>
  </cols>
  <sheetData>
    <row r="1" customFormat="false" ht="31.5" hidden="false" customHeight="true" outlineLevel="0" collapsed="false">
      <c r="A1" s="27" t="s">
        <v>59</v>
      </c>
      <c r="B1" s="27" t="s">
        <v>60</v>
      </c>
      <c r="C1" s="27" t="s">
        <v>61</v>
      </c>
      <c r="D1" s="27" t="s">
        <v>62</v>
      </c>
      <c r="E1" s="27" t="s">
        <v>63</v>
      </c>
      <c r="F1" s="27" t="s">
        <v>11</v>
      </c>
      <c r="G1" s="27" t="s">
        <v>64</v>
      </c>
      <c r="H1" s="27" t="s">
        <v>53</v>
      </c>
      <c r="I1" s="27" t="s">
        <v>65</v>
      </c>
      <c r="J1" s="27" t="s">
        <v>66</v>
      </c>
      <c r="K1" s="27" t="s">
        <v>67</v>
      </c>
      <c r="L1" s="27" t="s">
        <v>68</v>
      </c>
    </row>
    <row r="2" customFormat="false" ht="43.25" hidden="false" customHeight="false" outlineLevel="0" collapsed="false">
      <c r="A2" s="28" t="n">
        <v>1</v>
      </c>
      <c r="B2" s="28" t="s">
        <v>69</v>
      </c>
      <c r="C2" s="28" t="s">
        <v>70</v>
      </c>
      <c r="D2" s="28" t="s">
        <v>71</v>
      </c>
      <c r="E2" s="29" t="s">
        <v>72</v>
      </c>
      <c r="F2" s="28" t="s">
        <v>73</v>
      </c>
      <c r="G2" s="28" t="s">
        <v>74</v>
      </c>
      <c r="H2" s="28" t="s">
        <v>75</v>
      </c>
      <c r="I2" s="28"/>
      <c r="J2" s="28"/>
      <c r="K2" s="30"/>
      <c r="L2" s="28"/>
    </row>
    <row r="3" customFormat="false" ht="32.8" hidden="false" customHeight="false" outlineLevel="0" collapsed="false">
      <c r="A3" s="31" t="n">
        <v>2</v>
      </c>
      <c r="B3" s="31" t="s">
        <v>76</v>
      </c>
      <c r="C3" s="31" t="s">
        <v>77</v>
      </c>
      <c r="D3" s="31" t="s">
        <v>78</v>
      </c>
      <c r="E3" s="32" t="s">
        <v>72</v>
      </c>
      <c r="F3" s="31" t="s">
        <v>79</v>
      </c>
      <c r="G3" s="31" t="s">
        <v>80</v>
      </c>
      <c r="H3" s="31" t="s">
        <v>75</v>
      </c>
      <c r="I3" s="31"/>
      <c r="J3" s="31"/>
      <c r="K3" s="33"/>
      <c r="L3" s="31"/>
    </row>
    <row r="4" customFormat="false" ht="32.8" hidden="false" customHeight="false" outlineLevel="0" collapsed="false">
      <c r="A4" s="28" t="n">
        <v>3</v>
      </c>
      <c r="B4" s="28" t="s">
        <v>81</v>
      </c>
      <c r="C4" s="28" t="s">
        <v>77</v>
      </c>
      <c r="D4" s="28" t="s">
        <v>82</v>
      </c>
      <c r="E4" s="34" t="s">
        <v>83</v>
      </c>
      <c r="F4" s="28" t="s">
        <v>79</v>
      </c>
      <c r="G4" s="28" t="s">
        <v>84</v>
      </c>
      <c r="H4" s="28" t="s">
        <v>75</v>
      </c>
      <c r="I4" s="28"/>
      <c r="J4" s="28"/>
      <c r="K4" s="30"/>
      <c r="L4" s="28"/>
    </row>
    <row r="5" customFormat="false" ht="22.35" hidden="false" customHeight="false" outlineLevel="0" collapsed="false">
      <c r="A5" s="31" t="n">
        <v>4</v>
      </c>
      <c r="B5" s="31" t="s">
        <v>85</v>
      </c>
      <c r="C5" s="31" t="s">
        <v>77</v>
      </c>
      <c r="D5" s="31" t="s">
        <v>86</v>
      </c>
      <c r="E5" s="35" t="s">
        <v>83</v>
      </c>
      <c r="F5" s="31" t="s">
        <v>79</v>
      </c>
      <c r="G5" s="31" t="s">
        <v>87</v>
      </c>
      <c r="H5" s="31" t="s">
        <v>75</v>
      </c>
      <c r="I5" s="31"/>
      <c r="J5" s="31"/>
      <c r="K5" s="33"/>
      <c r="L5" s="31"/>
    </row>
    <row r="6" customFormat="false" ht="64.15" hidden="false" customHeight="false" outlineLevel="0" collapsed="false">
      <c r="A6" s="28" t="n">
        <v>5</v>
      </c>
      <c r="B6" s="28" t="s">
        <v>88</v>
      </c>
      <c r="C6" s="28" t="s">
        <v>89</v>
      </c>
      <c r="D6" s="28" t="s">
        <v>90</v>
      </c>
      <c r="E6" s="34" t="s">
        <v>83</v>
      </c>
      <c r="F6" s="28" t="s">
        <v>79</v>
      </c>
      <c r="G6" s="28" t="s">
        <v>91</v>
      </c>
      <c r="H6" s="28" t="s">
        <v>75</v>
      </c>
      <c r="I6" s="28"/>
      <c r="J6" s="28"/>
      <c r="K6" s="30"/>
      <c r="L6" s="28"/>
    </row>
    <row r="7" customFormat="false" ht="64.15" hidden="false" customHeight="false" outlineLevel="0" collapsed="false">
      <c r="A7" s="31" t="n">
        <v>6</v>
      </c>
      <c r="B7" s="31" t="s">
        <v>92</v>
      </c>
      <c r="C7" s="31" t="s">
        <v>89</v>
      </c>
      <c r="D7" s="31" t="s">
        <v>93</v>
      </c>
      <c r="E7" s="35" t="s">
        <v>83</v>
      </c>
      <c r="F7" s="31" t="s">
        <v>94</v>
      </c>
      <c r="G7" s="31" t="s">
        <v>95</v>
      </c>
      <c r="H7" s="31" t="s">
        <v>75</v>
      </c>
      <c r="I7" s="31"/>
      <c r="J7" s="31"/>
      <c r="K7" s="33"/>
      <c r="L7" s="31"/>
    </row>
    <row r="8" customFormat="false" ht="64.15" hidden="false" customHeight="false" outlineLevel="0" collapsed="false">
      <c r="A8" s="28" t="n">
        <v>7</v>
      </c>
      <c r="B8" s="28" t="s">
        <v>96</v>
      </c>
      <c r="C8" s="28" t="s">
        <v>77</v>
      </c>
      <c r="D8" s="28" t="s">
        <v>97</v>
      </c>
      <c r="E8" s="34" t="s">
        <v>83</v>
      </c>
      <c r="F8" s="28" t="s">
        <v>79</v>
      </c>
      <c r="G8" s="28" t="s">
        <v>98</v>
      </c>
      <c r="H8" s="28" t="s">
        <v>75</v>
      </c>
      <c r="I8" s="28"/>
      <c r="J8" s="28"/>
      <c r="K8" s="30"/>
      <c r="L8" s="28"/>
    </row>
    <row r="9" customFormat="false" ht="64.15" hidden="false" customHeight="false" outlineLevel="0" collapsed="false">
      <c r="A9" s="31" t="n">
        <v>8</v>
      </c>
      <c r="B9" s="31" t="s">
        <v>99</v>
      </c>
      <c r="C9" s="31" t="s">
        <v>100</v>
      </c>
      <c r="D9" s="31" t="s">
        <v>101</v>
      </c>
      <c r="E9" s="32" t="s">
        <v>102</v>
      </c>
      <c r="F9" s="31" t="s">
        <v>79</v>
      </c>
      <c r="G9" s="31" t="s">
        <v>103</v>
      </c>
      <c r="H9" s="31" t="s">
        <v>75</v>
      </c>
      <c r="I9" s="31"/>
      <c r="J9" s="31"/>
      <c r="K9" s="33"/>
      <c r="L9" s="31"/>
    </row>
    <row r="10" customFormat="false" ht="53.7" hidden="false" customHeight="false" outlineLevel="0" collapsed="false">
      <c r="A10" s="28" t="n">
        <v>9</v>
      </c>
      <c r="B10" s="28" t="s">
        <v>104</v>
      </c>
      <c r="C10" s="28" t="s">
        <v>77</v>
      </c>
      <c r="D10" s="28" t="s">
        <v>105</v>
      </c>
      <c r="E10" s="29" t="s">
        <v>102</v>
      </c>
      <c r="F10" s="28" t="s">
        <v>94</v>
      </c>
      <c r="G10" s="28" t="s">
        <v>106</v>
      </c>
      <c r="H10" s="28" t="s">
        <v>75</v>
      </c>
      <c r="I10" s="28"/>
      <c r="J10" s="28"/>
      <c r="K10" s="30"/>
      <c r="L10" s="28"/>
    </row>
    <row r="11" customFormat="false" ht="43.25" hidden="false" customHeight="false" outlineLevel="0" collapsed="false">
      <c r="A11" s="31" t="n">
        <v>10</v>
      </c>
      <c r="B11" s="31" t="s">
        <v>107</v>
      </c>
      <c r="C11" s="31" t="s">
        <v>77</v>
      </c>
      <c r="D11" s="31" t="s">
        <v>108</v>
      </c>
      <c r="E11" s="32" t="s">
        <v>72</v>
      </c>
      <c r="F11" s="31" t="s">
        <v>79</v>
      </c>
      <c r="G11" s="31" t="s">
        <v>109</v>
      </c>
      <c r="H11" s="31" t="s">
        <v>75</v>
      </c>
      <c r="I11" s="31"/>
      <c r="J11" s="31"/>
      <c r="K11" s="33"/>
      <c r="L11" s="31"/>
    </row>
    <row r="12" customFormat="false" ht="53.7" hidden="false" customHeight="false" outlineLevel="0" collapsed="false">
      <c r="A12" s="28" t="n">
        <v>11</v>
      </c>
      <c r="B12" s="28" t="s">
        <v>110</v>
      </c>
      <c r="C12" s="28" t="s">
        <v>77</v>
      </c>
      <c r="D12" s="28" t="s">
        <v>111</v>
      </c>
      <c r="E12" s="34" t="s">
        <v>83</v>
      </c>
      <c r="F12" s="28" t="s">
        <v>79</v>
      </c>
      <c r="G12" s="28" t="s">
        <v>112</v>
      </c>
      <c r="H12" s="28" t="s">
        <v>75</v>
      </c>
      <c r="I12" s="28"/>
      <c r="J12" s="28"/>
      <c r="K12" s="30"/>
      <c r="L12" s="28"/>
    </row>
    <row r="13" customFormat="false" ht="22.35" hidden="false" customHeight="false" outlineLevel="0" collapsed="false">
      <c r="A13" s="31" t="n">
        <v>12</v>
      </c>
      <c r="B13" s="31" t="s">
        <v>113</v>
      </c>
      <c r="C13" s="31" t="s">
        <v>70</v>
      </c>
      <c r="D13" s="31" t="s">
        <v>114</v>
      </c>
      <c r="E13" s="35" t="s">
        <v>83</v>
      </c>
      <c r="F13" s="31" t="s">
        <v>73</v>
      </c>
      <c r="G13" s="31" t="s">
        <v>115</v>
      </c>
      <c r="H13" s="31" t="s">
        <v>75</v>
      </c>
      <c r="I13" s="31"/>
      <c r="J13" s="31"/>
      <c r="K13" s="33"/>
      <c r="L13" s="31"/>
    </row>
    <row r="14" customFormat="false" ht="22.35" hidden="false" customHeight="false" outlineLevel="0" collapsed="false">
      <c r="A14" s="28" t="n">
        <v>13</v>
      </c>
      <c r="B14" s="28" t="s">
        <v>116</v>
      </c>
      <c r="C14" s="28" t="s">
        <v>70</v>
      </c>
      <c r="D14" s="28" t="s">
        <v>117</v>
      </c>
      <c r="E14" s="34" t="s">
        <v>83</v>
      </c>
      <c r="F14" s="28" t="s">
        <v>73</v>
      </c>
      <c r="G14" s="28" t="s">
        <v>118</v>
      </c>
      <c r="H14" s="28" t="s">
        <v>75</v>
      </c>
      <c r="I14" s="28"/>
      <c r="J14" s="28"/>
      <c r="K14" s="30"/>
      <c r="L14" s="28"/>
    </row>
    <row r="15" customFormat="false" ht="22.35" hidden="false" customHeight="false" outlineLevel="0" collapsed="false">
      <c r="A15" s="31" t="n">
        <v>14</v>
      </c>
      <c r="B15" s="31" t="s">
        <v>119</v>
      </c>
      <c r="C15" s="31" t="s">
        <v>70</v>
      </c>
      <c r="D15" s="31" t="s">
        <v>120</v>
      </c>
      <c r="E15" s="35" t="s">
        <v>83</v>
      </c>
      <c r="F15" s="31" t="s">
        <v>73</v>
      </c>
      <c r="G15" s="31" t="s">
        <v>121</v>
      </c>
      <c r="H15" s="31" t="s">
        <v>75</v>
      </c>
      <c r="I15" s="31"/>
      <c r="J15" s="31"/>
      <c r="K15" s="33"/>
      <c r="L15" s="31"/>
    </row>
    <row r="16" customFormat="false" ht="22.35" hidden="false" customHeight="false" outlineLevel="0" collapsed="false">
      <c r="A16" s="28" t="n">
        <v>15</v>
      </c>
      <c r="B16" s="28" t="s">
        <v>122</v>
      </c>
      <c r="C16" s="28" t="s">
        <v>70</v>
      </c>
      <c r="D16" s="28" t="s">
        <v>123</v>
      </c>
      <c r="E16" s="34" t="s">
        <v>83</v>
      </c>
      <c r="F16" s="28" t="s">
        <v>73</v>
      </c>
      <c r="G16" s="28" t="s">
        <v>124</v>
      </c>
      <c r="H16" s="28" t="s">
        <v>75</v>
      </c>
      <c r="I16" s="28"/>
      <c r="J16" s="28"/>
      <c r="K16" s="30"/>
      <c r="L16" s="28"/>
    </row>
    <row r="17" customFormat="false" ht="22.35" hidden="false" customHeight="false" outlineLevel="0" collapsed="false">
      <c r="A17" s="31" t="n">
        <v>16</v>
      </c>
      <c r="B17" s="31" t="s">
        <v>125</v>
      </c>
      <c r="C17" s="31" t="s">
        <v>70</v>
      </c>
      <c r="D17" s="31" t="s">
        <v>126</v>
      </c>
      <c r="E17" s="35" t="s">
        <v>83</v>
      </c>
      <c r="F17" s="31" t="s">
        <v>73</v>
      </c>
      <c r="G17" s="31" t="s">
        <v>127</v>
      </c>
      <c r="H17" s="31" t="s">
        <v>75</v>
      </c>
      <c r="I17" s="31"/>
      <c r="J17" s="31"/>
      <c r="K17" s="33"/>
      <c r="L17" s="31"/>
    </row>
    <row r="18" customFormat="false" ht="22.35" hidden="false" customHeight="false" outlineLevel="0" collapsed="false">
      <c r="A18" s="28" t="n">
        <v>17</v>
      </c>
      <c r="B18" s="28" t="s">
        <v>128</v>
      </c>
      <c r="C18" s="28" t="s">
        <v>129</v>
      </c>
      <c r="D18" s="28" t="s">
        <v>130</v>
      </c>
      <c r="E18" s="34" t="s">
        <v>83</v>
      </c>
      <c r="F18" s="28" t="s">
        <v>131</v>
      </c>
      <c r="G18" s="28" t="s">
        <v>132</v>
      </c>
      <c r="H18" s="28" t="s">
        <v>75</v>
      </c>
      <c r="I18" s="28"/>
      <c r="J18" s="28"/>
      <c r="K18" s="30"/>
      <c r="L18" s="28"/>
    </row>
    <row r="19" customFormat="false" ht="32.8" hidden="false" customHeight="false" outlineLevel="0" collapsed="false">
      <c r="A19" s="31" t="n">
        <v>18</v>
      </c>
      <c r="B19" s="31" t="s">
        <v>133</v>
      </c>
      <c r="C19" s="31" t="s">
        <v>134</v>
      </c>
      <c r="D19" s="31" t="s">
        <v>135</v>
      </c>
      <c r="E19" s="32" t="s">
        <v>102</v>
      </c>
      <c r="F19" s="31" t="s">
        <v>131</v>
      </c>
      <c r="G19" s="31" t="s">
        <v>136</v>
      </c>
      <c r="H19" s="31" t="s">
        <v>75</v>
      </c>
      <c r="I19" s="31"/>
      <c r="J19" s="31"/>
      <c r="K19" s="33"/>
      <c r="L19" s="31"/>
    </row>
    <row r="20" customFormat="false" ht="22.35" hidden="false" customHeight="false" outlineLevel="0" collapsed="false">
      <c r="A20" s="28" t="n">
        <v>19</v>
      </c>
      <c r="B20" s="28" t="s">
        <v>137</v>
      </c>
      <c r="C20" s="28" t="s">
        <v>138</v>
      </c>
      <c r="D20" s="28" t="s">
        <v>139</v>
      </c>
      <c r="E20" s="29" t="s">
        <v>102</v>
      </c>
      <c r="F20" s="28" t="s">
        <v>131</v>
      </c>
      <c r="G20" s="28" t="s">
        <v>140</v>
      </c>
      <c r="H20" s="28" t="s">
        <v>75</v>
      </c>
      <c r="I20" s="28"/>
      <c r="J20" s="28"/>
      <c r="K20" s="30"/>
      <c r="L20" s="28"/>
    </row>
    <row r="21" customFormat="false" ht="32.8" hidden="false" customHeight="false" outlineLevel="0" collapsed="false">
      <c r="A21" s="31" t="n">
        <v>20</v>
      </c>
      <c r="B21" s="31" t="s">
        <v>141</v>
      </c>
      <c r="C21" s="31" t="s">
        <v>142</v>
      </c>
      <c r="D21" s="31" t="s">
        <v>143</v>
      </c>
      <c r="E21" s="32" t="s">
        <v>72</v>
      </c>
      <c r="F21" s="31" t="s">
        <v>131</v>
      </c>
      <c r="G21" s="31" t="s">
        <v>144</v>
      </c>
      <c r="H21" s="31" t="s">
        <v>75</v>
      </c>
      <c r="I21" s="31"/>
      <c r="J21" s="31"/>
      <c r="K21" s="33"/>
      <c r="L21" s="31"/>
    </row>
    <row r="22" customFormat="false" ht="53.7" hidden="false" customHeight="false" outlineLevel="0" collapsed="false">
      <c r="A22" s="28" t="n">
        <v>21</v>
      </c>
      <c r="B22" s="28" t="s">
        <v>145</v>
      </c>
      <c r="C22" s="28" t="s">
        <v>142</v>
      </c>
      <c r="D22" s="28" t="s">
        <v>146</v>
      </c>
      <c r="E22" s="29" t="s">
        <v>72</v>
      </c>
      <c r="F22" s="28" t="s">
        <v>131</v>
      </c>
      <c r="G22" s="28" t="s">
        <v>147</v>
      </c>
      <c r="H22" s="28" t="s">
        <v>75</v>
      </c>
      <c r="I22" s="28"/>
      <c r="J22" s="28"/>
      <c r="K22" s="30"/>
      <c r="L22" s="28"/>
    </row>
    <row r="23" customFormat="false" ht="53.7" hidden="false" customHeight="false" outlineLevel="0" collapsed="false">
      <c r="A23" s="31" t="n">
        <v>22</v>
      </c>
      <c r="B23" s="31" t="s">
        <v>148</v>
      </c>
      <c r="C23" s="31" t="s">
        <v>142</v>
      </c>
      <c r="D23" s="31" t="s">
        <v>149</v>
      </c>
      <c r="E23" s="32" t="s">
        <v>72</v>
      </c>
      <c r="F23" s="31" t="s">
        <v>131</v>
      </c>
      <c r="G23" s="31" t="s">
        <v>150</v>
      </c>
      <c r="H23" s="31" t="s">
        <v>75</v>
      </c>
      <c r="I23" s="31"/>
      <c r="J23" s="31"/>
      <c r="K23" s="33"/>
      <c r="L23" s="31"/>
    </row>
    <row r="24" customFormat="false" ht="32.8" hidden="false" customHeight="false" outlineLevel="0" collapsed="false">
      <c r="A24" s="28" t="n">
        <v>23</v>
      </c>
      <c r="B24" s="28" t="s">
        <v>151</v>
      </c>
      <c r="C24" s="28" t="s">
        <v>142</v>
      </c>
      <c r="D24" s="28" t="s">
        <v>152</v>
      </c>
      <c r="E24" s="29" t="s">
        <v>72</v>
      </c>
      <c r="F24" s="28" t="s">
        <v>131</v>
      </c>
      <c r="G24" s="28" t="s">
        <v>153</v>
      </c>
      <c r="H24" s="28" t="s">
        <v>75</v>
      </c>
      <c r="I24" s="28"/>
      <c r="J24" s="28"/>
      <c r="K24" s="30"/>
      <c r="L24" s="28"/>
    </row>
    <row r="25" customFormat="false" ht="32.8" hidden="false" customHeight="false" outlineLevel="0" collapsed="false">
      <c r="A25" s="31" t="n">
        <v>24</v>
      </c>
      <c r="B25" s="31" t="s">
        <v>154</v>
      </c>
      <c r="C25" s="31" t="s">
        <v>142</v>
      </c>
      <c r="D25" s="31" t="s">
        <v>155</v>
      </c>
      <c r="E25" s="32" t="s">
        <v>72</v>
      </c>
      <c r="F25" s="31" t="s">
        <v>131</v>
      </c>
      <c r="G25" s="31" t="s">
        <v>156</v>
      </c>
      <c r="H25" s="31" t="s">
        <v>75</v>
      </c>
      <c r="I25" s="31"/>
      <c r="J25" s="31"/>
      <c r="K25" s="33"/>
      <c r="L25" s="31"/>
    </row>
    <row r="26" customFormat="false" ht="53.7" hidden="false" customHeight="false" outlineLevel="0" collapsed="false">
      <c r="A26" s="28" t="n">
        <v>25</v>
      </c>
      <c r="B26" s="28" t="s">
        <v>157</v>
      </c>
      <c r="C26" s="28" t="s">
        <v>142</v>
      </c>
      <c r="D26" s="28" t="s">
        <v>158</v>
      </c>
      <c r="E26" s="29" t="s">
        <v>72</v>
      </c>
      <c r="F26" s="28" t="s">
        <v>131</v>
      </c>
      <c r="G26" s="28" t="s">
        <v>159</v>
      </c>
      <c r="H26" s="28" t="s">
        <v>75</v>
      </c>
      <c r="I26" s="28"/>
      <c r="J26" s="28"/>
      <c r="K26" s="30"/>
      <c r="L26" s="28"/>
    </row>
    <row r="27" customFormat="false" ht="22.35" hidden="false" customHeight="false" outlineLevel="0" collapsed="false">
      <c r="A27" s="31" t="n">
        <v>26</v>
      </c>
      <c r="B27" s="31" t="s">
        <v>160</v>
      </c>
      <c r="C27" s="31" t="s">
        <v>142</v>
      </c>
      <c r="D27" s="31" t="s">
        <v>161</v>
      </c>
      <c r="E27" s="32" t="s">
        <v>72</v>
      </c>
      <c r="F27" s="31" t="s">
        <v>131</v>
      </c>
      <c r="G27" s="31" t="s">
        <v>162</v>
      </c>
      <c r="H27" s="31" t="s">
        <v>75</v>
      </c>
      <c r="I27" s="31"/>
      <c r="J27" s="31"/>
      <c r="K27" s="33"/>
      <c r="L27" s="31"/>
    </row>
    <row r="28" customFormat="false" ht="32.8" hidden="false" customHeight="false" outlineLevel="0" collapsed="false">
      <c r="A28" s="28" t="n">
        <v>27</v>
      </c>
      <c r="B28" s="28" t="s">
        <v>163</v>
      </c>
      <c r="C28" s="28" t="s">
        <v>142</v>
      </c>
      <c r="D28" s="28" t="s">
        <v>164</v>
      </c>
      <c r="E28" s="29" t="s">
        <v>72</v>
      </c>
      <c r="F28" s="28" t="s">
        <v>131</v>
      </c>
      <c r="G28" s="28" t="s">
        <v>165</v>
      </c>
      <c r="H28" s="28" t="s">
        <v>75</v>
      </c>
      <c r="I28" s="28"/>
      <c r="J28" s="28"/>
      <c r="K28" s="30"/>
      <c r="L28" s="28"/>
    </row>
    <row r="29" customFormat="false" ht="32.8" hidden="false" customHeight="false" outlineLevel="0" collapsed="false">
      <c r="A29" s="31" t="n">
        <v>28</v>
      </c>
      <c r="B29" s="31" t="s">
        <v>166</v>
      </c>
      <c r="C29" s="31" t="s">
        <v>142</v>
      </c>
      <c r="D29" s="31" t="s">
        <v>167</v>
      </c>
      <c r="E29" s="32" t="s">
        <v>72</v>
      </c>
      <c r="F29" s="31" t="s">
        <v>131</v>
      </c>
      <c r="G29" s="31" t="s">
        <v>168</v>
      </c>
      <c r="H29" s="31" t="s">
        <v>75</v>
      </c>
      <c r="I29" s="31"/>
      <c r="J29" s="31"/>
      <c r="K29" s="33"/>
      <c r="L29" s="31"/>
    </row>
    <row r="30" customFormat="false" ht="43.25" hidden="false" customHeight="false" outlineLevel="0" collapsed="false">
      <c r="A30" s="28" t="n">
        <v>29</v>
      </c>
      <c r="B30" s="28" t="s">
        <v>169</v>
      </c>
      <c r="C30" s="28" t="s">
        <v>142</v>
      </c>
      <c r="D30" s="28" t="s">
        <v>170</v>
      </c>
      <c r="E30" s="29" t="s">
        <v>72</v>
      </c>
      <c r="F30" s="28" t="s">
        <v>131</v>
      </c>
      <c r="G30" s="28" t="s">
        <v>171</v>
      </c>
      <c r="H30" s="28" t="s">
        <v>75</v>
      </c>
      <c r="I30" s="28"/>
      <c r="J30" s="28"/>
      <c r="K30" s="30"/>
      <c r="L30" s="28"/>
    </row>
    <row r="31" customFormat="false" ht="15" hidden="false" customHeight="false" outlineLevel="0" collapsed="false">
      <c r="A31" s="31" t="n">
        <v>30</v>
      </c>
      <c r="B31" s="31" t="s">
        <v>172</v>
      </c>
      <c r="C31" s="31" t="s">
        <v>173</v>
      </c>
      <c r="D31" s="31" t="s">
        <v>174</v>
      </c>
      <c r="E31" s="32" t="s">
        <v>102</v>
      </c>
      <c r="F31" s="31" t="s">
        <v>175</v>
      </c>
      <c r="G31" s="31" t="s">
        <v>176</v>
      </c>
      <c r="H31" s="31" t="s">
        <v>75</v>
      </c>
      <c r="I31" s="31"/>
      <c r="J31" s="31"/>
      <c r="K31" s="33"/>
      <c r="L31" s="31"/>
    </row>
    <row r="32" customFormat="false" ht="22.35" hidden="false" customHeight="false" outlineLevel="0" collapsed="false">
      <c r="A32" s="28" t="n">
        <v>31</v>
      </c>
      <c r="B32" s="28" t="s">
        <v>177</v>
      </c>
      <c r="C32" s="28" t="s">
        <v>173</v>
      </c>
      <c r="D32" s="28" t="s">
        <v>178</v>
      </c>
      <c r="E32" s="29" t="s">
        <v>102</v>
      </c>
      <c r="F32" s="28" t="s">
        <v>175</v>
      </c>
      <c r="G32" s="28" t="s">
        <v>179</v>
      </c>
      <c r="H32" s="28" t="s">
        <v>75</v>
      </c>
      <c r="I32" s="28"/>
      <c r="J32" s="28"/>
      <c r="K32" s="30"/>
      <c r="L32" s="28"/>
    </row>
    <row r="33" customFormat="false" ht="22.35" hidden="false" customHeight="false" outlineLevel="0" collapsed="false">
      <c r="A33" s="31" t="n">
        <v>32</v>
      </c>
      <c r="B33" s="31" t="s">
        <v>180</v>
      </c>
      <c r="C33" s="31" t="s">
        <v>173</v>
      </c>
      <c r="D33" s="31" t="s">
        <v>181</v>
      </c>
      <c r="E33" s="32" t="s">
        <v>102</v>
      </c>
      <c r="F33" s="31" t="s">
        <v>175</v>
      </c>
      <c r="G33" s="31" t="s">
        <v>182</v>
      </c>
      <c r="H33" s="31" t="s">
        <v>75</v>
      </c>
      <c r="I33" s="31"/>
      <c r="J33" s="31"/>
      <c r="K33" s="33"/>
      <c r="L33" s="31"/>
    </row>
    <row r="34" customFormat="false" ht="32.8" hidden="false" customHeight="false" outlineLevel="0" collapsed="false">
      <c r="A34" s="28" t="n">
        <v>33</v>
      </c>
      <c r="B34" s="28" t="s">
        <v>183</v>
      </c>
      <c r="C34" s="28" t="s">
        <v>184</v>
      </c>
      <c r="D34" s="28" t="s">
        <v>185</v>
      </c>
      <c r="E34" s="29" t="s">
        <v>102</v>
      </c>
      <c r="F34" s="28" t="s">
        <v>186</v>
      </c>
      <c r="G34" s="28" t="s">
        <v>187</v>
      </c>
      <c r="H34" s="28" t="s">
        <v>75</v>
      </c>
      <c r="I34" s="28"/>
      <c r="J34" s="28"/>
      <c r="K34" s="30"/>
      <c r="L34" s="28"/>
    </row>
    <row r="35" customFormat="false" ht="22.35" hidden="false" customHeight="false" outlineLevel="0" collapsed="false">
      <c r="A35" s="31" t="n">
        <v>34</v>
      </c>
      <c r="B35" s="31" t="s">
        <v>188</v>
      </c>
      <c r="C35" s="31" t="s">
        <v>184</v>
      </c>
      <c r="D35" s="31" t="s">
        <v>189</v>
      </c>
      <c r="E35" s="32" t="s">
        <v>102</v>
      </c>
      <c r="F35" s="31" t="s">
        <v>186</v>
      </c>
      <c r="G35" s="31" t="s">
        <v>190</v>
      </c>
      <c r="H35" s="31" t="s">
        <v>75</v>
      </c>
      <c r="I35" s="31"/>
      <c r="J35" s="31"/>
      <c r="K35" s="33"/>
      <c r="L35" s="31"/>
    </row>
    <row r="36" customFormat="false" ht="15" hidden="false" customHeight="false" outlineLevel="0" collapsed="false">
      <c r="A36" s="28" t="n">
        <v>35</v>
      </c>
      <c r="B36" s="28" t="s">
        <v>191</v>
      </c>
      <c r="C36" s="28" t="s">
        <v>184</v>
      </c>
      <c r="D36" s="28" t="s">
        <v>192</v>
      </c>
      <c r="E36" s="29" t="s">
        <v>102</v>
      </c>
      <c r="F36" s="28" t="s">
        <v>186</v>
      </c>
      <c r="G36" s="28" t="s">
        <v>193</v>
      </c>
      <c r="H36" s="28" t="s">
        <v>75</v>
      </c>
      <c r="I36" s="28"/>
      <c r="J36" s="28"/>
      <c r="K36" s="30"/>
      <c r="L36" s="28"/>
    </row>
    <row r="37" customFormat="false" ht="15" hidden="false" customHeight="false" outlineLevel="0" collapsed="false">
      <c r="A37" s="31" t="n">
        <v>36</v>
      </c>
      <c r="B37" s="31" t="s">
        <v>194</v>
      </c>
      <c r="C37" s="31" t="s">
        <v>184</v>
      </c>
      <c r="D37" s="31" t="s">
        <v>195</v>
      </c>
      <c r="E37" s="32" t="s">
        <v>102</v>
      </c>
      <c r="F37" s="31" t="s">
        <v>186</v>
      </c>
      <c r="G37" s="31" t="s">
        <v>196</v>
      </c>
      <c r="H37" s="31" t="s">
        <v>75</v>
      </c>
      <c r="I37" s="31"/>
      <c r="J37" s="31"/>
      <c r="K37" s="33"/>
      <c r="L37" s="31"/>
    </row>
    <row r="38" customFormat="false" ht="22.35" hidden="false" customHeight="false" outlineLevel="0" collapsed="false">
      <c r="A38" s="28" t="n">
        <v>37</v>
      </c>
      <c r="B38" s="28" t="s">
        <v>197</v>
      </c>
      <c r="C38" s="28" t="s">
        <v>184</v>
      </c>
      <c r="D38" s="28" t="s">
        <v>198</v>
      </c>
      <c r="E38" s="29" t="s">
        <v>102</v>
      </c>
      <c r="F38" s="28" t="s">
        <v>186</v>
      </c>
      <c r="G38" s="28" t="s">
        <v>199</v>
      </c>
      <c r="H38" s="28" t="s">
        <v>75</v>
      </c>
      <c r="I38" s="28"/>
      <c r="J38" s="28"/>
      <c r="K38" s="30"/>
      <c r="L38" s="28"/>
    </row>
    <row r="39" customFormat="false" ht="22.35" hidden="false" customHeight="false" outlineLevel="0" collapsed="false">
      <c r="A39" s="31" t="n">
        <v>38</v>
      </c>
      <c r="B39" s="31" t="s">
        <v>200</v>
      </c>
      <c r="C39" s="31" t="s">
        <v>184</v>
      </c>
      <c r="D39" s="31" t="s">
        <v>201</v>
      </c>
      <c r="E39" s="32" t="s">
        <v>102</v>
      </c>
      <c r="F39" s="31" t="s">
        <v>186</v>
      </c>
      <c r="G39" s="31" t="s">
        <v>202</v>
      </c>
      <c r="H39" s="31" t="s">
        <v>75</v>
      </c>
      <c r="I39" s="31"/>
      <c r="J39" s="31"/>
      <c r="K39" s="33"/>
      <c r="L39" s="31"/>
    </row>
    <row r="40" customFormat="false" ht="22.35" hidden="false" customHeight="false" outlineLevel="0" collapsed="false">
      <c r="A40" s="28" t="n">
        <v>39</v>
      </c>
      <c r="B40" s="28" t="s">
        <v>203</v>
      </c>
      <c r="C40" s="28" t="s">
        <v>184</v>
      </c>
      <c r="D40" s="28" t="s">
        <v>204</v>
      </c>
      <c r="E40" s="29" t="s">
        <v>102</v>
      </c>
      <c r="F40" s="28" t="s">
        <v>186</v>
      </c>
      <c r="G40" s="28" t="s">
        <v>205</v>
      </c>
      <c r="H40" s="28" t="s">
        <v>75</v>
      </c>
      <c r="I40" s="28"/>
      <c r="J40" s="28"/>
      <c r="K40" s="30"/>
      <c r="L40" s="28"/>
    </row>
    <row r="41" customFormat="false" ht="22.35" hidden="false" customHeight="false" outlineLevel="0" collapsed="false">
      <c r="A41" s="31" t="n">
        <v>40</v>
      </c>
      <c r="B41" s="31" t="s">
        <v>206</v>
      </c>
      <c r="C41" s="31" t="s">
        <v>207</v>
      </c>
      <c r="D41" s="31" t="s">
        <v>208</v>
      </c>
      <c r="E41" s="32" t="s">
        <v>102</v>
      </c>
      <c r="F41" s="31" t="s">
        <v>73</v>
      </c>
      <c r="G41" s="31" t="s">
        <v>209</v>
      </c>
      <c r="H41" s="31" t="s">
        <v>75</v>
      </c>
      <c r="I41" s="31"/>
      <c r="J41" s="31"/>
      <c r="K41" s="33"/>
      <c r="L41" s="31"/>
    </row>
    <row r="42" customFormat="false" ht="22.35" hidden="false" customHeight="false" outlineLevel="0" collapsed="false">
      <c r="A42" s="28" t="n">
        <v>41</v>
      </c>
      <c r="B42" s="28" t="s">
        <v>210</v>
      </c>
      <c r="C42" s="28" t="s">
        <v>207</v>
      </c>
      <c r="D42" s="28" t="s">
        <v>211</v>
      </c>
      <c r="E42" s="29" t="s">
        <v>102</v>
      </c>
      <c r="F42" s="28" t="s">
        <v>131</v>
      </c>
      <c r="G42" s="28" t="s">
        <v>212</v>
      </c>
      <c r="H42" s="28" t="s">
        <v>75</v>
      </c>
      <c r="I42" s="28"/>
      <c r="J42" s="28"/>
      <c r="K42" s="30"/>
      <c r="L42" s="28"/>
    </row>
    <row r="43" customFormat="false" ht="22.35" hidden="false" customHeight="false" outlineLevel="0" collapsed="false">
      <c r="A43" s="31" t="n">
        <v>42</v>
      </c>
      <c r="B43" s="31" t="s">
        <v>213</v>
      </c>
      <c r="C43" s="31" t="s">
        <v>214</v>
      </c>
      <c r="D43" s="31" t="s">
        <v>215</v>
      </c>
      <c r="E43" s="32" t="s">
        <v>102</v>
      </c>
      <c r="F43" s="31" t="s">
        <v>216</v>
      </c>
      <c r="G43" s="31" t="s">
        <v>217</v>
      </c>
      <c r="H43" s="31" t="s">
        <v>75</v>
      </c>
      <c r="I43" s="31"/>
      <c r="J43" s="31"/>
      <c r="K43" s="33"/>
      <c r="L43" s="31"/>
    </row>
    <row r="44" customFormat="false" ht="22.35" hidden="false" customHeight="false" outlineLevel="0" collapsed="false">
      <c r="A44" s="28" t="n">
        <v>43</v>
      </c>
      <c r="B44" s="28" t="s">
        <v>218</v>
      </c>
      <c r="C44" s="28" t="s">
        <v>214</v>
      </c>
      <c r="D44" s="28" t="s">
        <v>219</v>
      </c>
      <c r="E44" s="29" t="s">
        <v>102</v>
      </c>
      <c r="F44" s="28" t="s">
        <v>216</v>
      </c>
      <c r="G44" s="28" t="s">
        <v>220</v>
      </c>
      <c r="H44" s="28" t="s">
        <v>75</v>
      </c>
      <c r="I44" s="28"/>
      <c r="J44" s="28"/>
      <c r="K44" s="30"/>
      <c r="L44" s="28"/>
    </row>
    <row r="45" customFormat="false" ht="22.35" hidden="false" customHeight="false" outlineLevel="0" collapsed="false">
      <c r="A45" s="31" t="n">
        <v>44</v>
      </c>
      <c r="B45" s="31" t="s">
        <v>221</v>
      </c>
      <c r="C45" s="31" t="s">
        <v>214</v>
      </c>
      <c r="D45" s="31" t="s">
        <v>222</v>
      </c>
      <c r="E45" s="32" t="s">
        <v>102</v>
      </c>
      <c r="F45" s="31" t="s">
        <v>216</v>
      </c>
      <c r="G45" s="31" t="s">
        <v>223</v>
      </c>
      <c r="H45" s="31" t="s">
        <v>75</v>
      </c>
      <c r="I45" s="31"/>
      <c r="J45" s="31"/>
      <c r="K45" s="33"/>
      <c r="L45" s="31"/>
    </row>
    <row r="46" customFormat="false" ht="22.35" hidden="false" customHeight="false" outlineLevel="0" collapsed="false">
      <c r="A46" s="28" t="n">
        <v>45</v>
      </c>
      <c r="B46" s="28" t="s">
        <v>224</v>
      </c>
      <c r="C46" s="28" t="s">
        <v>214</v>
      </c>
      <c r="D46" s="28" t="s">
        <v>225</v>
      </c>
      <c r="E46" s="29" t="s">
        <v>102</v>
      </c>
      <c r="F46" s="28" t="s">
        <v>216</v>
      </c>
      <c r="G46" s="28" t="s">
        <v>226</v>
      </c>
      <c r="H46" s="28" t="s">
        <v>75</v>
      </c>
      <c r="I46" s="28"/>
      <c r="J46" s="28"/>
      <c r="K46" s="30"/>
      <c r="L46" s="28"/>
    </row>
    <row r="47" customFormat="false" ht="32.8" hidden="false" customHeight="false" outlineLevel="0" collapsed="false">
      <c r="A47" s="31" t="n">
        <v>46</v>
      </c>
      <c r="B47" s="31" t="s">
        <v>227</v>
      </c>
      <c r="C47" s="31" t="s">
        <v>214</v>
      </c>
      <c r="D47" s="31" t="s">
        <v>228</v>
      </c>
      <c r="E47" s="32" t="s">
        <v>102</v>
      </c>
      <c r="F47" s="31" t="s">
        <v>216</v>
      </c>
      <c r="G47" s="31" t="s">
        <v>229</v>
      </c>
      <c r="H47" s="31" t="s">
        <v>75</v>
      </c>
      <c r="I47" s="31"/>
      <c r="J47" s="31"/>
      <c r="K47" s="33"/>
      <c r="L47" s="31"/>
    </row>
    <row r="48" customFormat="false" ht="22.35" hidden="false" customHeight="false" outlineLevel="0" collapsed="false">
      <c r="A48" s="28" t="n">
        <v>47</v>
      </c>
      <c r="B48" s="28" t="s">
        <v>230</v>
      </c>
      <c r="C48" s="28" t="s">
        <v>231</v>
      </c>
      <c r="D48" s="28" t="s">
        <v>232</v>
      </c>
      <c r="E48" s="29" t="s">
        <v>102</v>
      </c>
      <c r="F48" s="28" t="s">
        <v>73</v>
      </c>
      <c r="G48" s="28" t="s">
        <v>233</v>
      </c>
      <c r="H48" s="28" t="s">
        <v>75</v>
      </c>
      <c r="I48" s="28"/>
      <c r="J48" s="28"/>
      <c r="K48" s="30"/>
      <c r="L48" s="28"/>
    </row>
    <row r="49" customFormat="false" ht="43.25" hidden="false" customHeight="false" outlineLevel="0" collapsed="false">
      <c r="A49" s="31" t="n">
        <v>48</v>
      </c>
      <c r="B49" s="31" t="s">
        <v>234</v>
      </c>
      <c r="C49" s="31" t="s">
        <v>231</v>
      </c>
      <c r="D49" s="31" t="s">
        <v>235</v>
      </c>
      <c r="E49" s="32" t="s">
        <v>102</v>
      </c>
      <c r="F49" s="31" t="s">
        <v>73</v>
      </c>
      <c r="G49" s="31" t="s">
        <v>236</v>
      </c>
      <c r="H49" s="31" t="s">
        <v>75</v>
      </c>
      <c r="I49" s="31"/>
      <c r="J49" s="31"/>
      <c r="K49" s="33"/>
      <c r="L49" s="31"/>
    </row>
    <row r="50" customFormat="false" ht="22.35" hidden="false" customHeight="false" outlineLevel="0" collapsed="false">
      <c r="A50" s="28" t="n">
        <v>49</v>
      </c>
      <c r="B50" s="28" t="s">
        <v>237</v>
      </c>
      <c r="C50" s="28" t="s">
        <v>231</v>
      </c>
      <c r="D50" s="28" t="s">
        <v>238</v>
      </c>
      <c r="E50" s="29" t="s">
        <v>102</v>
      </c>
      <c r="F50" s="28" t="s">
        <v>73</v>
      </c>
      <c r="G50" s="28" t="s">
        <v>239</v>
      </c>
      <c r="H50" s="28" t="s">
        <v>75</v>
      </c>
      <c r="I50" s="28"/>
      <c r="J50" s="28"/>
      <c r="K50" s="30"/>
      <c r="L50" s="28"/>
    </row>
    <row r="51" customFormat="false" ht="22.35" hidden="false" customHeight="false" outlineLevel="0" collapsed="false">
      <c r="A51" s="31" t="n">
        <v>50</v>
      </c>
      <c r="B51" s="31" t="s">
        <v>240</v>
      </c>
      <c r="C51" s="31" t="s">
        <v>231</v>
      </c>
      <c r="D51" s="31" t="s">
        <v>241</v>
      </c>
      <c r="E51" s="32" t="s">
        <v>102</v>
      </c>
      <c r="F51" s="31" t="s">
        <v>73</v>
      </c>
      <c r="G51" s="31" t="s">
        <v>242</v>
      </c>
      <c r="H51" s="31" t="s">
        <v>75</v>
      </c>
      <c r="I51" s="31"/>
      <c r="J51" s="31"/>
      <c r="K51" s="33"/>
      <c r="L51" s="31"/>
    </row>
    <row r="52" customFormat="false" ht="22.35" hidden="false" customHeight="false" outlineLevel="0" collapsed="false">
      <c r="A52" s="28" t="n">
        <v>51</v>
      </c>
      <c r="B52" s="28" t="s">
        <v>243</v>
      </c>
      <c r="C52" s="28" t="s">
        <v>231</v>
      </c>
      <c r="D52" s="28" t="s">
        <v>244</v>
      </c>
      <c r="E52" s="29" t="s">
        <v>102</v>
      </c>
      <c r="F52" s="28" t="s">
        <v>73</v>
      </c>
      <c r="G52" s="28" t="s">
        <v>245</v>
      </c>
      <c r="H52" s="28" t="s">
        <v>75</v>
      </c>
      <c r="I52" s="28"/>
      <c r="J52" s="28"/>
      <c r="K52" s="30"/>
      <c r="L52" s="28"/>
    </row>
    <row r="53" customFormat="false" ht="22.35" hidden="false" customHeight="false" outlineLevel="0" collapsed="false">
      <c r="A53" s="31" t="n">
        <v>52</v>
      </c>
      <c r="B53" s="31" t="s">
        <v>246</v>
      </c>
      <c r="C53" s="31" t="s">
        <v>231</v>
      </c>
      <c r="D53" s="31" t="s">
        <v>247</v>
      </c>
      <c r="E53" s="32" t="s">
        <v>102</v>
      </c>
      <c r="F53" s="31" t="s">
        <v>73</v>
      </c>
      <c r="G53" s="31" t="s">
        <v>248</v>
      </c>
      <c r="H53" s="31" t="s">
        <v>75</v>
      </c>
      <c r="I53" s="31"/>
      <c r="J53" s="31"/>
      <c r="K53" s="33"/>
      <c r="L53" s="31"/>
    </row>
    <row r="54" customFormat="false" ht="22.35" hidden="false" customHeight="false" outlineLevel="0" collapsed="false">
      <c r="A54" s="28" t="n">
        <v>53</v>
      </c>
      <c r="B54" s="28" t="s">
        <v>249</v>
      </c>
      <c r="C54" s="28" t="s">
        <v>231</v>
      </c>
      <c r="D54" s="28" t="s">
        <v>250</v>
      </c>
      <c r="E54" s="29" t="s">
        <v>102</v>
      </c>
      <c r="F54" s="28" t="s">
        <v>73</v>
      </c>
      <c r="G54" s="28" t="s">
        <v>251</v>
      </c>
      <c r="H54" s="28" t="s">
        <v>75</v>
      </c>
      <c r="I54" s="28"/>
      <c r="J54" s="28"/>
      <c r="K54" s="30"/>
      <c r="L54" s="28"/>
    </row>
    <row r="55" customFormat="false" ht="22.35" hidden="false" customHeight="false" outlineLevel="0" collapsed="false">
      <c r="A55" s="31" t="n">
        <v>54</v>
      </c>
      <c r="B55" s="31" t="s">
        <v>252</v>
      </c>
      <c r="C55" s="31" t="s">
        <v>231</v>
      </c>
      <c r="D55" s="31" t="s">
        <v>253</v>
      </c>
      <c r="E55" s="32" t="s">
        <v>102</v>
      </c>
      <c r="F55" s="31" t="s">
        <v>73</v>
      </c>
      <c r="G55" s="31" t="s">
        <v>254</v>
      </c>
      <c r="H55" s="31" t="s">
        <v>75</v>
      </c>
      <c r="I55" s="31"/>
      <c r="J55" s="31"/>
      <c r="K55" s="33"/>
      <c r="L55" s="31"/>
    </row>
    <row r="56" customFormat="false" ht="53.7" hidden="false" customHeight="false" outlineLevel="0" collapsed="false">
      <c r="A56" s="28" t="n">
        <v>55</v>
      </c>
      <c r="B56" s="28" t="s">
        <v>255</v>
      </c>
      <c r="C56" s="28" t="s">
        <v>256</v>
      </c>
      <c r="D56" s="28" t="s">
        <v>257</v>
      </c>
      <c r="E56" s="34" t="s">
        <v>83</v>
      </c>
      <c r="F56" s="28" t="s">
        <v>73</v>
      </c>
      <c r="G56" s="28" t="s">
        <v>258</v>
      </c>
      <c r="H56" s="28" t="s">
        <v>75</v>
      </c>
      <c r="I56" s="28"/>
      <c r="J56" s="28"/>
      <c r="K56" s="30"/>
      <c r="L56" s="28"/>
    </row>
    <row r="57" customFormat="false" ht="32.8" hidden="false" customHeight="false" outlineLevel="0" collapsed="false">
      <c r="A57" s="31" t="n">
        <v>56</v>
      </c>
      <c r="B57" s="31" t="s">
        <v>259</v>
      </c>
      <c r="C57" s="31" t="s">
        <v>256</v>
      </c>
      <c r="D57" s="31" t="s">
        <v>260</v>
      </c>
      <c r="E57" s="35" t="s">
        <v>83</v>
      </c>
      <c r="F57" s="31" t="s">
        <v>73</v>
      </c>
      <c r="G57" s="31" t="s">
        <v>261</v>
      </c>
      <c r="H57" s="31" t="s">
        <v>75</v>
      </c>
      <c r="I57" s="31"/>
      <c r="J57" s="31"/>
      <c r="K57" s="33"/>
      <c r="L57" s="31"/>
    </row>
    <row r="58" customFormat="false" ht="43.25" hidden="false" customHeight="false" outlineLevel="0" collapsed="false">
      <c r="A58" s="28" t="n">
        <v>57</v>
      </c>
      <c r="B58" s="28" t="s">
        <v>262</v>
      </c>
      <c r="C58" s="28" t="s">
        <v>256</v>
      </c>
      <c r="D58" s="28" t="s">
        <v>263</v>
      </c>
      <c r="E58" s="34" t="s">
        <v>83</v>
      </c>
      <c r="F58" s="28" t="s">
        <v>73</v>
      </c>
      <c r="G58" s="28" t="s">
        <v>264</v>
      </c>
      <c r="H58" s="28" t="s">
        <v>75</v>
      </c>
      <c r="I58" s="28"/>
      <c r="J58" s="28"/>
      <c r="K58" s="30"/>
      <c r="L58" s="28"/>
    </row>
    <row r="59" customFormat="false" ht="53.7" hidden="false" customHeight="false" outlineLevel="0" collapsed="false">
      <c r="A59" s="31" t="n">
        <v>58</v>
      </c>
      <c r="B59" s="31" t="s">
        <v>265</v>
      </c>
      <c r="C59" s="31" t="s">
        <v>256</v>
      </c>
      <c r="D59" s="31" t="s">
        <v>266</v>
      </c>
      <c r="E59" s="35" t="s">
        <v>83</v>
      </c>
      <c r="F59" s="31" t="s">
        <v>73</v>
      </c>
      <c r="G59" s="31" t="s">
        <v>267</v>
      </c>
      <c r="H59" s="31" t="s">
        <v>75</v>
      </c>
      <c r="I59" s="31"/>
      <c r="J59" s="31"/>
      <c r="K59" s="33"/>
      <c r="L59" s="31"/>
    </row>
    <row r="60" customFormat="false" ht="53.7" hidden="false" customHeight="false" outlineLevel="0" collapsed="false">
      <c r="A60" s="28" t="n">
        <v>59</v>
      </c>
      <c r="B60" s="28" t="s">
        <v>268</v>
      </c>
      <c r="C60" s="28" t="s">
        <v>269</v>
      </c>
      <c r="D60" s="28" t="s">
        <v>270</v>
      </c>
      <c r="E60" s="29" t="s">
        <v>102</v>
      </c>
      <c r="F60" s="28" t="s">
        <v>73</v>
      </c>
      <c r="G60" s="28" t="s">
        <v>271</v>
      </c>
      <c r="H60" s="28" t="s">
        <v>75</v>
      </c>
      <c r="I60" s="28"/>
      <c r="J60" s="28"/>
      <c r="K60" s="30"/>
      <c r="L60" s="28"/>
    </row>
    <row r="61" customFormat="false" ht="32.8" hidden="false" customHeight="false" outlineLevel="0" collapsed="false">
      <c r="A61" s="31" t="n">
        <v>60</v>
      </c>
      <c r="B61" s="31" t="s">
        <v>272</v>
      </c>
      <c r="C61" s="31" t="s">
        <v>273</v>
      </c>
      <c r="D61" s="31" t="s">
        <v>274</v>
      </c>
      <c r="E61" s="32" t="s">
        <v>102</v>
      </c>
      <c r="F61" s="31" t="s">
        <v>73</v>
      </c>
      <c r="G61" s="31" t="s">
        <v>275</v>
      </c>
      <c r="H61" s="31" t="s">
        <v>75</v>
      </c>
      <c r="I61" s="31"/>
      <c r="J61" s="31"/>
      <c r="K61" s="33"/>
      <c r="L61" s="31"/>
    </row>
    <row r="62" customFormat="false" ht="32.8" hidden="false" customHeight="false" outlineLevel="0" collapsed="false">
      <c r="A62" s="28" t="n">
        <v>61</v>
      </c>
      <c r="B62" s="28" t="s">
        <v>276</v>
      </c>
      <c r="C62" s="28" t="s">
        <v>273</v>
      </c>
      <c r="D62" s="28" t="s">
        <v>277</v>
      </c>
      <c r="E62" s="29" t="s">
        <v>102</v>
      </c>
      <c r="F62" s="28" t="s">
        <v>73</v>
      </c>
      <c r="G62" s="28" t="s">
        <v>278</v>
      </c>
      <c r="H62" s="28" t="s">
        <v>75</v>
      </c>
      <c r="I62" s="28"/>
      <c r="J62" s="28"/>
      <c r="K62" s="30"/>
      <c r="L62" s="28"/>
    </row>
    <row r="63" customFormat="false" ht="53.7" hidden="false" customHeight="false" outlineLevel="0" collapsed="false">
      <c r="A63" s="31" t="n">
        <v>62</v>
      </c>
      <c r="B63" s="31" t="s">
        <v>279</v>
      </c>
      <c r="C63" s="31" t="s">
        <v>273</v>
      </c>
      <c r="D63" s="31" t="s">
        <v>280</v>
      </c>
      <c r="E63" s="32" t="s">
        <v>102</v>
      </c>
      <c r="F63" s="31" t="s">
        <v>73</v>
      </c>
      <c r="G63" s="31" t="s">
        <v>281</v>
      </c>
      <c r="H63" s="31" t="s">
        <v>75</v>
      </c>
      <c r="I63" s="31"/>
      <c r="J63" s="31"/>
      <c r="K63" s="33"/>
      <c r="L63" s="31"/>
    </row>
    <row r="64" customFormat="false" ht="32.8" hidden="false" customHeight="false" outlineLevel="0" collapsed="false">
      <c r="A64" s="28" t="n">
        <v>63</v>
      </c>
      <c r="B64" s="28" t="s">
        <v>282</v>
      </c>
      <c r="C64" s="28" t="s">
        <v>273</v>
      </c>
      <c r="D64" s="28" t="s">
        <v>283</v>
      </c>
      <c r="E64" s="34" t="s">
        <v>83</v>
      </c>
      <c r="F64" s="28" t="s">
        <v>73</v>
      </c>
      <c r="G64" s="28" t="s">
        <v>284</v>
      </c>
      <c r="H64" s="28" t="s">
        <v>75</v>
      </c>
      <c r="I64" s="28"/>
      <c r="J64" s="28"/>
      <c r="K64" s="30"/>
      <c r="L64" s="28"/>
    </row>
    <row r="65" customFormat="false" ht="22.35" hidden="false" customHeight="false" outlineLevel="0" collapsed="false">
      <c r="A65" s="31" t="n">
        <v>64</v>
      </c>
      <c r="B65" s="31" t="s">
        <v>285</v>
      </c>
      <c r="C65" s="31" t="s">
        <v>273</v>
      </c>
      <c r="D65" s="31" t="s">
        <v>286</v>
      </c>
      <c r="E65" s="32" t="s">
        <v>102</v>
      </c>
      <c r="F65" s="31" t="s">
        <v>73</v>
      </c>
      <c r="G65" s="31" t="s">
        <v>287</v>
      </c>
      <c r="H65" s="31" t="s">
        <v>75</v>
      </c>
      <c r="I65" s="31"/>
      <c r="J65" s="31"/>
      <c r="K65" s="33"/>
      <c r="L65" s="31"/>
    </row>
    <row r="66" customFormat="false" ht="53.7" hidden="false" customHeight="false" outlineLevel="0" collapsed="false">
      <c r="A66" s="28" t="n">
        <v>65</v>
      </c>
      <c r="B66" s="28" t="s">
        <v>288</v>
      </c>
      <c r="C66" s="28" t="s">
        <v>289</v>
      </c>
      <c r="D66" s="28" t="s">
        <v>290</v>
      </c>
      <c r="E66" s="29" t="s">
        <v>102</v>
      </c>
      <c r="F66" s="28" t="s">
        <v>73</v>
      </c>
      <c r="G66" s="28" t="s">
        <v>291</v>
      </c>
      <c r="H66" s="28" t="s">
        <v>75</v>
      </c>
      <c r="I66" s="28"/>
      <c r="J66" s="28"/>
      <c r="K66" s="30"/>
      <c r="L66" s="28"/>
    </row>
    <row r="67" customFormat="false" ht="22.35" hidden="false" customHeight="false" outlineLevel="0" collapsed="false">
      <c r="A67" s="31" t="n">
        <v>66</v>
      </c>
      <c r="B67" s="31" t="s">
        <v>292</v>
      </c>
      <c r="C67" s="31" t="s">
        <v>289</v>
      </c>
      <c r="D67" s="31" t="s">
        <v>293</v>
      </c>
      <c r="E67" s="32" t="s">
        <v>102</v>
      </c>
      <c r="F67" s="31" t="s">
        <v>73</v>
      </c>
      <c r="G67" s="31" t="s">
        <v>294</v>
      </c>
      <c r="H67" s="31" t="s">
        <v>75</v>
      </c>
      <c r="I67" s="31"/>
      <c r="J67" s="31"/>
      <c r="K67" s="33"/>
      <c r="L67" s="31"/>
    </row>
    <row r="68" customFormat="false" ht="22.35" hidden="false" customHeight="false" outlineLevel="0" collapsed="false">
      <c r="A68" s="28" t="n">
        <v>67</v>
      </c>
      <c r="B68" s="28" t="s">
        <v>295</v>
      </c>
      <c r="C68" s="28" t="s">
        <v>289</v>
      </c>
      <c r="D68" s="28" t="s">
        <v>296</v>
      </c>
      <c r="E68" s="29" t="s">
        <v>102</v>
      </c>
      <c r="F68" s="28" t="s">
        <v>73</v>
      </c>
      <c r="G68" s="28" t="s">
        <v>297</v>
      </c>
      <c r="H68" s="28" t="s">
        <v>75</v>
      </c>
      <c r="I68" s="28"/>
      <c r="J68" s="28"/>
      <c r="K68" s="30"/>
      <c r="L68" s="28"/>
    </row>
    <row r="69" customFormat="false" ht="64.15" hidden="false" customHeight="false" outlineLevel="0" collapsed="false">
      <c r="A69" s="31" t="n">
        <v>68</v>
      </c>
      <c r="B69" s="31" t="s">
        <v>298</v>
      </c>
      <c r="C69" s="31" t="s">
        <v>289</v>
      </c>
      <c r="D69" s="31" t="s">
        <v>299</v>
      </c>
      <c r="E69" s="35" t="s">
        <v>83</v>
      </c>
      <c r="F69" s="31" t="s">
        <v>73</v>
      </c>
      <c r="G69" s="31" t="s">
        <v>300</v>
      </c>
      <c r="H69" s="31" t="s">
        <v>75</v>
      </c>
      <c r="I69" s="31"/>
      <c r="J69" s="31"/>
      <c r="K69" s="33"/>
      <c r="L69" s="31"/>
    </row>
    <row r="70" customFormat="false" ht="43.25" hidden="false" customHeight="false" outlineLevel="0" collapsed="false">
      <c r="A70" s="28" t="n">
        <v>69</v>
      </c>
      <c r="B70" s="28" t="s">
        <v>301</v>
      </c>
      <c r="C70" s="28" t="s">
        <v>289</v>
      </c>
      <c r="D70" s="28" t="s">
        <v>302</v>
      </c>
      <c r="E70" s="34" t="s">
        <v>83</v>
      </c>
      <c r="F70" s="28" t="s">
        <v>73</v>
      </c>
      <c r="G70" s="28" t="s">
        <v>303</v>
      </c>
      <c r="H70" s="28" t="s">
        <v>75</v>
      </c>
      <c r="I70" s="28"/>
      <c r="J70" s="28"/>
      <c r="K70" s="30"/>
      <c r="L70" s="28"/>
    </row>
    <row r="71" customFormat="false" ht="64.15" hidden="false" customHeight="false" outlineLevel="0" collapsed="false">
      <c r="A71" s="31" t="n">
        <v>70</v>
      </c>
      <c r="B71" s="31" t="s">
        <v>304</v>
      </c>
      <c r="C71" s="31" t="s">
        <v>305</v>
      </c>
      <c r="D71" s="31" t="s">
        <v>306</v>
      </c>
      <c r="E71" s="32" t="s">
        <v>102</v>
      </c>
      <c r="F71" s="31" t="s">
        <v>73</v>
      </c>
      <c r="G71" s="31" t="s">
        <v>307</v>
      </c>
      <c r="H71" s="31" t="s">
        <v>75</v>
      </c>
      <c r="I71" s="31"/>
      <c r="J71" s="31"/>
      <c r="K71" s="33"/>
      <c r="L71" s="31"/>
    </row>
    <row r="72" customFormat="false" ht="32.8" hidden="false" customHeight="false" outlineLevel="0" collapsed="false">
      <c r="A72" s="28" t="n">
        <v>71</v>
      </c>
      <c r="B72" s="28" t="s">
        <v>308</v>
      </c>
      <c r="C72" s="28" t="s">
        <v>305</v>
      </c>
      <c r="D72" s="28" t="s">
        <v>309</v>
      </c>
      <c r="E72" s="29" t="s">
        <v>102</v>
      </c>
      <c r="F72" s="28" t="s">
        <v>73</v>
      </c>
      <c r="G72" s="28" t="s">
        <v>310</v>
      </c>
      <c r="H72" s="28" t="s">
        <v>75</v>
      </c>
      <c r="I72" s="28"/>
      <c r="J72" s="28"/>
      <c r="K72" s="30"/>
      <c r="L72" s="28"/>
    </row>
    <row r="73" customFormat="false" ht="22.35" hidden="false" customHeight="false" outlineLevel="0" collapsed="false">
      <c r="A73" s="31" t="n">
        <v>72</v>
      </c>
      <c r="B73" s="31" t="s">
        <v>311</v>
      </c>
      <c r="C73" s="31" t="s">
        <v>305</v>
      </c>
      <c r="D73" s="31" t="s">
        <v>312</v>
      </c>
      <c r="E73" s="32" t="s">
        <v>102</v>
      </c>
      <c r="F73" s="31" t="s">
        <v>73</v>
      </c>
      <c r="G73" s="31" t="s">
        <v>313</v>
      </c>
      <c r="H73" s="31" t="s">
        <v>75</v>
      </c>
      <c r="I73" s="31"/>
      <c r="J73" s="31"/>
      <c r="K73" s="33"/>
      <c r="L73" s="31"/>
    </row>
    <row r="74" customFormat="false" ht="22.35" hidden="false" customHeight="false" outlineLevel="0" collapsed="false">
      <c r="A74" s="28" t="n">
        <v>73</v>
      </c>
      <c r="B74" s="28" t="s">
        <v>314</v>
      </c>
      <c r="C74" s="28" t="s">
        <v>305</v>
      </c>
      <c r="D74" s="28" t="s">
        <v>315</v>
      </c>
      <c r="E74" s="29" t="s">
        <v>102</v>
      </c>
      <c r="F74" s="28" t="s">
        <v>316</v>
      </c>
      <c r="G74" s="28" t="s">
        <v>317</v>
      </c>
      <c r="H74" s="28" t="s">
        <v>75</v>
      </c>
      <c r="I74" s="28"/>
      <c r="J74" s="28"/>
      <c r="K74" s="30"/>
      <c r="L74" s="28"/>
    </row>
    <row r="75" customFormat="false" ht="32.8" hidden="false" customHeight="false" outlineLevel="0" collapsed="false">
      <c r="A75" s="31" t="n">
        <v>74</v>
      </c>
      <c r="B75" s="31" t="s">
        <v>318</v>
      </c>
      <c r="C75" s="31" t="s">
        <v>319</v>
      </c>
      <c r="D75" s="31" t="s">
        <v>320</v>
      </c>
      <c r="E75" s="35" t="s">
        <v>83</v>
      </c>
      <c r="F75" s="31" t="s">
        <v>73</v>
      </c>
      <c r="G75" s="31" t="s">
        <v>321</v>
      </c>
      <c r="H75" s="31" t="s">
        <v>75</v>
      </c>
      <c r="I75" s="31"/>
      <c r="J75" s="31"/>
      <c r="K75" s="33"/>
      <c r="L75" s="31"/>
    </row>
    <row r="76" customFormat="false" ht="74.6" hidden="false" customHeight="false" outlineLevel="0" collapsed="false">
      <c r="A76" s="28" t="n">
        <v>75</v>
      </c>
      <c r="B76" s="28" t="s">
        <v>322</v>
      </c>
      <c r="C76" s="28" t="s">
        <v>323</v>
      </c>
      <c r="D76" s="28" t="s">
        <v>324</v>
      </c>
      <c r="E76" s="34" t="s">
        <v>83</v>
      </c>
      <c r="F76" s="28" t="s">
        <v>73</v>
      </c>
      <c r="G76" s="28" t="s">
        <v>325</v>
      </c>
      <c r="H76" s="28" t="s">
        <v>75</v>
      </c>
      <c r="I76" s="28"/>
      <c r="J76" s="28"/>
      <c r="K76" s="30"/>
      <c r="L76" s="28"/>
    </row>
    <row r="77" customFormat="false" ht="22.35" hidden="false" customHeight="false" outlineLevel="0" collapsed="false">
      <c r="A77" s="31" t="n">
        <v>76</v>
      </c>
      <c r="B77" s="31" t="s">
        <v>326</v>
      </c>
      <c r="C77" s="31" t="s">
        <v>327</v>
      </c>
      <c r="D77" s="31" t="s">
        <v>328</v>
      </c>
      <c r="E77" s="32" t="s">
        <v>102</v>
      </c>
      <c r="F77" s="31" t="s">
        <v>327</v>
      </c>
      <c r="G77" s="31" t="s">
        <v>329</v>
      </c>
      <c r="H77" s="31" t="s">
        <v>75</v>
      </c>
      <c r="I77" s="31"/>
      <c r="J77" s="31"/>
      <c r="K77" s="33"/>
      <c r="L77" s="31"/>
    </row>
    <row r="78" customFormat="false" ht="22.35" hidden="false" customHeight="false" outlineLevel="0" collapsed="false">
      <c r="A78" s="28" t="n">
        <v>77</v>
      </c>
      <c r="B78" s="28" t="s">
        <v>330</v>
      </c>
      <c r="C78" s="28" t="s">
        <v>327</v>
      </c>
      <c r="D78" s="28" t="s">
        <v>331</v>
      </c>
      <c r="E78" s="29" t="s">
        <v>102</v>
      </c>
      <c r="F78" s="28" t="s">
        <v>327</v>
      </c>
      <c r="G78" s="28" t="s">
        <v>332</v>
      </c>
      <c r="H78" s="28" t="s">
        <v>75</v>
      </c>
      <c r="I78" s="28"/>
      <c r="J78" s="28"/>
      <c r="K78" s="30"/>
      <c r="L78" s="28"/>
    </row>
    <row r="79" customFormat="false" ht="22.35" hidden="false" customHeight="false" outlineLevel="0" collapsed="false">
      <c r="A79" s="31" t="n">
        <v>78</v>
      </c>
      <c r="B79" s="31" t="s">
        <v>333</v>
      </c>
      <c r="C79" s="31" t="s">
        <v>327</v>
      </c>
      <c r="D79" s="31" t="s">
        <v>334</v>
      </c>
      <c r="E79" s="32" t="s">
        <v>102</v>
      </c>
      <c r="F79" s="31" t="s">
        <v>327</v>
      </c>
      <c r="G79" s="31" t="s">
        <v>335</v>
      </c>
      <c r="H79" s="31" t="s">
        <v>75</v>
      </c>
      <c r="I79" s="31"/>
      <c r="J79" s="31"/>
      <c r="K79" s="33"/>
      <c r="L79" s="31"/>
    </row>
    <row r="80" customFormat="false" ht="22.35" hidden="false" customHeight="false" outlineLevel="0" collapsed="false">
      <c r="A80" s="28" t="n">
        <v>79</v>
      </c>
      <c r="B80" s="28" t="s">
        <v>336</v>
      </c>
      <c r="C80" s="28" t="s">
        <v>327</v>
      </c>
      <c r="D80" s="28" t="s">
        <v>337</v>
      </c>
      <c r="E80" s="29" t="s">
        <v>102</v>
      </c>
      <c r="F80" s="28" t="s">
        <v>327</v>
      </c>
      <c r="G80" s="28" t="s">
        <v>338</v>
      </c>
      <c r="H80" s="28" t="s">
        <v>75</v>
      </c>
      <c r="I80" s="28"/>
      <c r="J80" s="28"/>
      <c r="K80" s="30"/>
      <c r="L80" s="28"/>
    </row>
    <row r="81" customFormat="false" ht="22.35" hidden="false" customHeight="false" outlineLevel="0" collapsed="false">
      <c r="A81" s="31" t="n">
        <v>80</v>
      </c>
      <c r="B81" s="31" t="s">
        <v>339</v>
      </c>
      <c r="C81" s="31" t="s">
        <v>327</v>
      </c>
      <c r="D81" s="31" t="s">
        <v>340</v>
      </c>
      <c r="E81" s="32" t="s">
        <v>102</v>
      </c>
      <c r="F81" s="31" t="s">
        <v>327</v>
      </c>
      <c r="G81" s="31" t="s">
        <v>341</v>
      </c>
      <c r="H81" s="31" t="s">
        <v>75</v>
      </c>
      <c r="I81" s="31"/>
      <c r="J81" s="31"/>
      <c r="K81" s="33"/>
      <c r="L81" s="31"/>
    </row>
    <row r="82" customFormat="false" ht="22.35" hidden="false" customHeight="false" outlineLevel="0" collapsed="false">
      <c r="A82" s="28" t="n">
        <v>81</v>
      </c>
      <c r="B82" s="28" t="s">
        <v>342</v>
      </c>
      <c r="C82" s="28" t="s">
        <v>327</v>
      </c>
      <c r="D82" s="28" t="s">
        <v>343</v>
      </c>
      <c r="E82" s="29" t="s">
        <v>102</v>
      </c>
      <c r="F82" s="28" t="s">
        <v>327</v>
      </c>
      <c r="G82" s="28" t="s">
        <v>344</v>
      </c>
      <c r="H82" s="28" t="s">
        <v>75</v>
      </c>
      <c r="I82" s="28"/>
      <c r="J82" s="28"/>
      <c r="K82" s="30"/>
      <c r="L82" s="28"/>
    </row>
    <row r="83" customFormat="false" ht="95.5" hidden="false" customHeight="false" outlineLevel="0" collapsed="false">
      <c r="A83" s="31" t="n">
        <v>82</v>
      </c>
      <c r="B83" s="31" t="s">
        <v>345</v>
      </c>
      <c r="C83" s="31" t="s">
        <v>327</v>
      </c>
      <c r="D83" s="31" t="s">
        <v>346</v>
      </c>
      <c r="E83" s="32" t="s">
        <v>102</v>
      </c>
      <c r="F83" s="31" t="s">
        <v>73</v>
      </c>
      <c r="G83" s="31" t="s">
        <v>347</v>
      </c>
      <c r="H83" s="31" t="s">
        <v>75</v>
      </c>
      <c r="I83" s="31"/>
      <c r="J83" s="31"/>
      <c r="K83" s="33"/>
      <c r="L83" s="31"/>
    </row>
    <row r="84" customFormat="false" ht="22.35" hidden="false" customHeight="false" outlineLevel="0" collapsed="false">
      <c r="A84" s="28" t="n">
        <v>83</v>
      </c>
      <c r="B84" s="28" t="s">
        <v>348</v>
      </c>
      <c r="C84" s="28" t="s">
        <v>327</v>
      </c>
      <c r="D84" s="28" t="s">
        <v>349</v>
      </c>
      <c r="E84" s="29" t="s">
        <v>102</v>
      </c>
      <c r="F84" s="28" t="s">
        <v>73</v>
      </c>
      <c r="G84" s="28" t="s">
        <v>350</v>
      </c>
      <c r="H84" s="28" t="s">
        <v>75</v>
      </c>
      <c r="I84" s="28"/>
      <c r="J84" s="28"/>
      <c r="K84" s="30"/>
      <c r="L84" s="28"/>
    </row>
    <row r="85" customFormat="false" ht="22.35" hidden="false" customHeight="false" outlineLevel="0" collapsed="false">
      <c r="A85" s="31" t="n">
        <v>84</v>
      </c>
      <c r="B85" s="31" t="s">
        <v>351</v>
      </c>
      <c r="C85" s="31" t="s">
        <v>327</v>
      </c>
      <c r="D85" s="31" t="s">
        <v>352</v>
      </c>
      <c r="E85" s="32" t="s">
        <v>102</v>
      </c>
      <c r="F85" s="31" t="s">
        <v>73</v>
      </c>
      <c r="G85" s="31" t="s">
        <v>353</v>
      </c>
      <c r="H85" s="31" t="s">
        <v>75</v>
      </c>
      <c r="I85" s="31"/>
      <c r="J85" s="31"/>
      <c r="K85" s="33"/>
      <c r="L85" s="31"/>
    </row>
    <row r="86" customFormat="false" ht="22.35" hidden="false" customHeight="false" outlineLevel="0" collapsed="false">
      <c r="A86" s="28" t="n">
        <v>85</v>
      </c>
      <c r="B86" s="28" t="s">
        <v>354</v>
      </c>
      <c r="C86" s="28" t="s">
        <v>355</v>
      </c>
      <c r="D86" s="28" t="s">
        <v>356</v>
      </c>
      <c r="E86" s="29" t="s">
        <v>102</v>
      </c>
      <c r="F86" s="28" t="s">
        <v>355</v>
      </c>
      <c r="G86" s="28" t="s">
        <v>357</v>
      </c>
      <c r="H86" s="28" t="s">
        <v>75</v>
      </c>
      <c r="I86" s="28"/>
      <c r="J86" s="28"/>
      <c r="K86" s="30"/>
      <c r="L86" s="28"/>
    </row>
    <row r="87" customFormat="false" ht="22.35" hidden="false" customHeight="false" outlineLevel="0" collapsed="false">
      <c r="A87" s="31" t="n">
        <v>86</v>
      </c>
      <c r="B87" s="31" t="s">
        <v>358</v>
      </c>
      <c r="C87" s="31" t="s">
        <v>355</v>
      </c>
      <c r="D87" s="31" t="s">
        <v>359</v>
      </c>
      <c r="E87" s="32" t="s">
        <v>102</v>
      </c>
      <c r="F87" s="31" t="s">
        <v>355</v>
      </c>
      <c r="G87" s="31" t="s">
        <v>360</v>
      </c>
      <c r="H87" s="31" t="s">
        <v>75</v>
      </c>
      <c r="I87" s="31"/>
      <c r="J87" s="31"/>
      <c r="K87" s="33"/>
      <c r="L87" s="31"/>
    </row>
    <row r="88" customFormat="false" ht="32.8" hidden="false" customHeight="false" outlineLevel="0" collapsed="false">
      <c r="A88" s="28" t="n">
        <v>87</v>
      </c>
      <c r="B88" s="28" t="s">
        <v>361</v>
      </c>
      <c r="C88" s="28" t="s">
        <v>355</v>
      </c>
      <c r="D88" s="28" t="s">
        <v>362</v>
      </c>
      <c r="E88" s="29" t="s">
        <v>102</v>
      </c>
      <c r="F88" s="28" t="s">
        <v>355</v>
      </c>
      <c r="G88" s="28" t="s">
        <v>363</v>
      </c>
      <c r="H88" s="28" t="s">
        <v>75</v>
      </c>
      <c r="I88" s="28"/>
      <c r="J88" s="28"/>
      <c r="K88" s="30"/>
      <c r="L88" s="28"/>
    </row>
    <row r="89" customFormat="false" ht="43.25" hidden="false" customHeight="false" outlineLevel="0" collapsed="false">
      <c r="A89" s="31" t="n">
        <v>88</v>
      </c>
      <c r="B89" s="31" t="s">
        <v>364</v>
      </c>
      <c r="C89" s="31" t="s">
        <v>365</v>
      </c>
      <c r="D89" s="31" t="s">
        <v>366</v>
      </c>
      <c r="E89" s="32" t="s">
        <v>102</v>
      </c>
      <c r="F89" s="31" t="s">
        <v>131</v>
      </c>
      <c r="G89" s="31" t="s">
        <v>367</v>
      </c>
      <c r="H89" s="31" t="s">
        <v>75</v>
      </c>
      <c r="I89" s="31"/>
      <c r="J89" s="31"/>
      <c r="K89" s="33"/>
      <c r="L89" s="31"/>
    </row>
    <row r="90" customFormat="false" ht="43.25" hidden="false" customHeight="false" outlineLevel="0" collapsed="false">
      <c r="A90" s="28" t="n">
        <v>89</v>
      </c>
      <c r="B90" s="28" t="s">
        <v>368</v>
      </c>
      <c r="C90" s="28" t="s">
        <v>365</v>
      </c>
      <c r="D90" s="28" t="s">
        <v>369</v>
      </c>
      <c r="E90" s="29" t="s">
        <v>102</v>
      </c>
      <c r="F90" s="28" t="s">
        <v>73</v>
      </c>
      <c r="G90" s="28" t="s">
        <v>370</v>
      </c>
      <c r="H90" s="28" t="s">
        <v>75</v>
      </c>
      <c r="I90" s="28"/>
      <c r="J90" s="28"/>
      <c r="K90" s="30"/>
      <c r="L90" s="28"/>
    </row>
    <row r="91" customFormat="false" ht="32.8" hidden="false" customHeight="false" outlineLevel="0" collapsed="false">
      <c r="A91" s="31" t="n">
        <v>90</v>
      </c>
      <c r="B91" s="31" t="s">
        <v>371</v>
      </c>
      <c r="C91" s="31" t="s">
        <v>372</v>
      </c>
      <c r="D91" s="31" t="s">
        <v>373</v>
      </c>
      <c r="E91" s="32" t="s">
        <v>102</v>
      </c>
      <c r="F91" s="31" t="s">
        <v>73</v>
      </c>
      <c r="G91" s="31" t="s">
        <v>374</v>
      </c>
      <c r="H91" s="31" t="s">
        <v>75</v>
      </c>
      <c r="I91" s="31"/>
      <c r="J91" s="31"/>
      <c r="K91" s="33"/>
      <c r="L91" s="31"/>
    </row>
    <row r="92" customFormat="false" ht="32.8" hidden="false" customHeight="false" outlineLevel="0" collapsed="false">
      <c r="A92" s="28" t="n">
        <v>91</v>
      </c>
      <c r="B92" s="28" t="s">
        <v>375</v>
      </c>
      <c r="C92" s="28" t="s">
        <v>376</v>
      </c>
      <c r="D92" s="28" t="s">
        <v>377</v>
      </c>
      <c r="E92" s="29" t="s">
        <v>102</v>
      </c>
      <c r="F92" s="28" t="s">
        <v>73</v>
      </c>
      <c r="G92" s="28" t="s">
        <v>378</v>
      </c>
      <c r="H92" s="28" t="s">
        <v>75</v>
      </c>
      <c r="I92" s="28"/>
      <c r="J92" s="28"/>
      <c r="K92" s="30"/>
      <c r="L92" s="28"/>
    </row>
    <row r="93" customFormat="false" ht="43.25" hidden="false" customHeight="false" outlineLevel="0" collapsed="false">
      <c r="A93" s="31" t="n">
        <v>92</v>
      </c>
      <c r="B93" s="31" t="s">
        <v>379</v>
      </c>
      <c r="C93" s="31" t="s">
        <v>323</v>
      </c>
      <c r="D93" s="31" t="s">
        <v>380</v>
      </c>
      <c r="E93" s="35" t="s">
        <v>83</v>
      </c>
      <c r="F93" s="31" t="s">
        <v>73</v>
      </c>
      <c r="G93" s="31" t="s">
        <v>381</v>
      </c>
      <c r="H93" s="31" t="s">
        <v>75</v>
      </c>
      <c r="I93" s="31"/>
      <c r="J93" s="31"/>
      <c r="K93" s="33"/>
      <c r="L93" s="31"/>
    </row>
    <row r="94" customFormat="false" ht="53.7" hidden="false" customHeight="false" outlineLevel="0" collapsed="false">
      <c r="A94" s="28" t="n">
        <v>93</v>
      </c>
      <c r="B94" s="28" t="s">
        <v>382</v>
      </c>
      <c r="C94" s="28" t="s">
        <v>383</v>
      </c>
      <c r="D94" s="28" t="s">
        <v>384</v>
      </c>
      <c r="E94" s="34" t="s">
        <v>83</v>
      </c>
      <c r="F94" s="28" t="s">
        <v>73</v>
      </c>
      <c r="G94" s="28" t="s">
        <v>385</v>
      </c>
      <c r="H94" s="28" t="s">
        <v>75</v>
      </c>
      <c r="I94" s="28"/>
      <c r="J94" s="28"/>
      <c r="K94" s="30"/>
      <c r="L94" s="28"/>
    </row>
    <row r="95" customFormat="false" ht="43.25" hidden="false" customHeight="false" outlineLevel="0" collapsed="false">
      <c r="A95" s="31" t="n">
        <v>94</v>
      </c>
      <c r="B95" s="31" t="s">
        <v>386</v>
      </c>
      <c r="C95" s="31" t="s">
        <v>383</v>
      </c>
      <c r="D95" s="31" t="s">
        <v>387</v>
      </c>
      <c r="E95" s="35" t="s">
        <v>83</v>
      </c>
      <c r="F95" s="31" t="s">
        <v>73</v>
      </c>
      <c r="G95" s="31" t="s">
        <v>388</v>
      </c>
      <c r="H95" s="31" t="s">
        <v>75</v>
      </c>
      <c r="I95" s="31"/>
      <c r="J95" s="31"/>
      <c r="K95" s="33"/>
      <c r="L95" s="31"/>
    </row>
    <row r="96" customFormat="false" ht="32.8" hidden="false" customHeight="false" outlineLevel="0" collapsed="false">
      <c r="A96" s="28" t="n">
        <v>95</v>
      </c>
      <c r="B96" s="28" t="s">
        <v>389</v>
      </c>
      <c r="C96" s="28" t="s">
        <v>383</v>
      </c>
      <c r="D96" s="28" t="s">
        <v>390</v>
      </c>
      <c r="E96" s="29" t="s">
        <v>72</v>
      </c>
      <c r="F96" s="28" t="s">
        <v>73</v>
      </c>
      <c r="G96" s="28" t="s">
        <v>391</v>
      </c>
      <c r="H96" s="28" t="s">
        <v>75</v>
      </c>
      <c r="I96" s="28"/>
      <c r="J96" s="28"/>
      <c r="K96" s="30"/>
      <c r="L96" s="28"/>
    </row>
    <row r="97" customFormat="false" ht="22.35" hidden="false" customHeight="false" outlineLevel="0" collapsed="false">
      <c r="A97" s="31" t="n">
        <v>96</v>
      </c>
      <c r="B97" s="31" t="s">
        <v>392</v>
      </c>
      <c r="C97" s="31" t="s">
        <v>383</v>
      </c>
      <c r="D97" s="31" t="s">
        <v>393</v>
      </c>
      <c r="E97" s="32" t="s">
        <v>102</v>
      </c>
      <c r="F97" s="31" t="s">
        <v>73</v>
      </c>
      <c r="G97" s="31" t="s">
        <v>394</v>
      </c>
      <c r="H97" s="31" t="s">
        <v>75</v>
      </c>
      <c r="I97" s="31"/>
      <c r="J97" s="31"/>
      <c r="K97" s="33"/>
      <c r="L97" s="31"/>
    </row>
    <row r="98" customFormat="false" ht="43.25" hidden="false" customHeight="false" outlineLevel="0" collapsed="false">
      <c r="A98" s="28" t="n">
        <v>97</v>
      </c>
      <c r="B98" s="28" t="s">
        <v>395</v>
      </c>
      <c r="C98" s="28" t="s">
        <v>273</v>
      </c>
      <c r="D98" s="28" t="s">
        <v>396</v>
      </c>
      <c r="E98" s="29" t="s">
        <v>102</v>
      </c>
      <c r="F98" s="28" t="s">
        <v>73</v>
      </c>
      <c r="G98" s="28" t="s">
        <v>397</v>
      </c>
      <c r="H98" s="28" t="s">
        <v>75</v>
      </c>
      <c r="I98" s="28"/>
      <c r="J98" s="28"/>
      <c r="K98" s="30"/>
      <c r="L98" s="28"/>
    </row>
    <row r="99" customFormat="false" ht="15" hidden="false" customHeight="false" outlineLevel="0" collapsed="false">
      <c r="A99" s="31" t="n">
        <v>98</v>
      </c>
      <c r="B99" s="31" t="s">
        <v>398</v>
      </c>
      <c r="C99" s="31" t="s">
        <v>399</v>
      </c>
      <c r="D99" s="31" t="s">
        <v>400</v>
      </c>
      <c r="E99" s="32" t="s">
        <v>102</v>
      </c>
      <c r="F99" s="31" t="s">
        <v>131</v>
      </c>
      <c r="G99" s="31" t="s">
        <v>401</v>
      </c>
      <c r="H99" s="31" t="s">
        <v>75</v>
      </c>
      <c r="I99" s="31"/>
      <c r="J99" s="31"/>
      <c r="K99" s="33"/>
      <c r="L99" s="31"/>
    </row>
    <row r="100" customFormat="false" ht="22.35" hidden="false" customHeight="false" outlineLevel="0" collapsed="false">
      <c r="A100" s="28" t="n">
        <v>99</v>
      </c>
      <c r="B100" s="28" t="s">
        <v>402</v>
      </c>
      <c r="C100" s="28" t="s">
        <v>399</v>
      </c>
      <c r="D100" s="28" t="s">
        <v>403</v>
      </c>
      <c r="E100" s="29" t="s">
        <v>102</v>
      </c>
      <c r="F100" s="28" t="s">
        <v>131</v>
      </c>
      <c r="G100" s="28" t="s">
        <v>401</v>
      </c>
      <c r="H100" s="28" t="s">
        <v>75</v>
      </c>
      <c r="I100" s="28"/>
      <c r="J100" s="28"/>
      <c r="K100" s="30"/>
      <c r="L100" s="28"/>
    </row>
    <row r="101" customFormat="false" ht="22.35" hidden="false" customHeight="false" outlineLevel="0" collapsed="false">
      <c r="A101" s="31" t="n">
        <v>100</v>
      </c>
      <c r="B101" s="31" t="s">
        <v>404</v>
      </c>
      <c r="C101" s="31" t="s">
        <v>399</v>
      </c>
      <c r="D101" s="31" t="s">
        <v>405</v>
      </c>
      <c r="E101" s="32" t="s">
        <v>102</v>
      </c>
      <c r="F101" s="31" t="s">
        <v>131</v>
      </c>
      <c r="G101" s="31" t="s">
        <v>401</v>
      </c>
      <c r="H101" s="31" t="s">
        <v>75</v>
      </c>
      <c r="I101" s="31"/>
      <c r="J101" s="31"/>
      <c r="K101" s="33"/>
      <c r="L101" s="31"/>
    </row>
    <row r="102" customFormat="false" ht="22.35" hidden="false" customHeight="false" outlineLevel="0" collapsed="false">
      <c r="A102" s="28" t="n">
        <v>101</v>
      </c>
      <c r="B102" s="28" t="s">
        <v>406</v>
      </c>
      <c r="C102" s="28" t="s">
        <v>399</v>
      </c>
      <c r="D102" s="28" t="s">
        <v>407</v>
      </c>
      <c r="E102" s="29" t="s">
        <v>102</v>
      </c>
      <c r="F102" s="28" t="s">
        <v>131</v>
      </c>
      <c r="G102" s="28" t="s">
        <v>401</v>
      </c>
      <c r="H102" s="28" t="s">
        <v>75</v>
      </c>
      <c r="I102" s="28"/>
      <c r="J102" s="28"/>
      <c r="K102" s="30"/>
      <c r="L102" s="28"/>
    </row>
    <row r="103" customFormat="false" ht="22.35" hidden="false" customHeight="false" outlineLevel="0" collapsed="false">
      <c r="A103" s="31" t="n">
        <v>102</v>
      </c>
      <c r="B103" s="31" t="s">
        <v>408</v>
      </c>
      <c r="C103" s="31" t="s">
        <v>399</v>
      </c>
      <c r="D103" s="31" t="s">
        <v>409</v>
      </c>
      <c r="E103" s="32" t="s">
        <v>102</v>
      </c>
      <c r="F103" s="31" t="s">
        <v>131</v>
      </c>
      <c r="G103" s="31" t="s">
        <v>401</v>
      </c>
      <c r="H103" s="31" t="s">
        <v>75</v>
      </c>
      <c r="I103" s="31"/>
      <c r="J103" s="31"/>
      <c r="K103" s="33"/>
      <c r="L103" s="31"/>
    </row>
    <row r="104" customFormat="false" ht="22.35" hidden="false" customHeight="false" outlineLevel="0" collapsed="false">
      <c r="A104" s="28" t="n">
        <v>103</v>
      </c>
      <c r="B104" s="28" t="s">
        <v>410</v>
      </c>
      <c r="C104" s="28" t="s">
        <v>399</v>
      </c>
      <c r="D104" s="28" t="s">
        <v>411</v>
      </c>
      <c r="E104" s="29" t="s">
        <v>102</v>
      </c>
      <c r="F104" s="28" t="s">
        <v>131</v>
      </c>
      <c r="G104" s="28" t="s">
        <v>412</v>
      </c>
      <c r="H104" s="28" t="s">
        <v>75</v>
      </c>
      <c r="I104" s="28"/>
      <c r="J104" s="28"/>
      <c r="K104" s="30"/>
      <c r="L104" s="28"/>
    </row>
    <row r="105" customFormat="false" ht="22.35" hidden="false" customHeight="false" outlineLevel="0" collapsed="false">
      <c r="A105" s="31" t="n">
        <v>104</v>
      </c>
      <c r="B105" s="31" t="s">
        <v>413</v>
      </c>
      <c r="C105" s="31" t="s">
        <v>399</v>
      </c>
      <c r="D105" s="31" t="s">
        <v>414</v>
      </c>
      <c r="E105" s="32" t="s">
        <v>102</v>
      </c>
      <c r="F105" s="31" t="s">
        <v>131</v>
      </c>
      <c r="G105" s="31" t="s">
        <v>415</v>
      </c>
      <c r="H105" s="31" t="s">
        <v>75</v>
      </c>
      <c r="I105" s="31"/>
      <c r="J105" s="31"/>
      <c r="K105" s="33"/>
      <c r="L105" s="31"/>
    </row>
    <row r="106" customFormat="false" ht="22.35" hidden="false" customHeight="false" outlineLevel="0" collapsed="false">
      <c r="A106" s="28" t="n">
        <v>105</v>
      </c>
      <c r="B106" s="28" t="s">
        <v>416</v>
      </c>
      <c r="C106" s="28" t="s">
        <v>399</v>
      </c>
      <c r="D106" s="28" t="s">
        <v>417</v>
      </c>
      <c r="E106" s="34" t="s">
        <v>83</v>
      </c>
      <c r="F106" s="28" t="s">
        <v>131</v>
      </c>
      <c r="G106" s="28" t="s">
        <v>418</v>
      </c>
      <c r="H106" s="28" t="s">
        <v>75</v>
      </c>
      <c r="I106" s="28"/>
      <c r="J106" s="28"/>
      <c r="K106" s="30"/>
      <c r="L106" s="28"/>
    </row>
    <row r="107" customFormat="false" ht="15" hidden="false" customHeight="false" outlineLevel="0" collapsed="false">
      <c r="A107" s="31" t="n">
        <v>106</v>
      </c>
      <c r="B107" s="31" t="s">
        <v>419</v>
      </c>
      <c r="C107" s="31" t="s">
        <v>420</v>
      </c>
      <c r="D107" s="31" t="s">
        <v>421</v>
      </c>
      <c r="E107" s="32" t="s">
        <v>102</v>
      </c>
      <c r="F107" s="31" t="s">
        <v>131</v>
      </c>
      <c r="G107" s="31" t="s">
        <v>422</v>
      </c>
      <c r="H107" s="31" t="s">
        <v>75</v>
      </c>
      <c r="I107" s="31"/>
      <c r="J107" s="31"/>
      <c r="K107" s="33"/>
      <c r="L107" s="31"/>
    </row>
    <row r="108" customFormat="false" ht="15" hidden="false" customHeight="false" outlineLevel="0" collapsed="false">
      <c r="A108" s="28" t="n">
        <v>107</v>
      </c>
      <c r="B108" s="28" t="s">
        <v>423</v>
      </c>
      <c r="C108" s="28" t="s">
        <v>420</v>
      </c>
      <c r="D108" s="28" t="s">
        <v>424</v>
      </c>
      <c r="E108" s="29" t="s">
        <v>102</v>
      </c>
      <c r="F108" s="28" t="s">
        <v>131</v>
      </c>
      <c r="G108" s="28" t="s">
        <v>422</v>
      </c>
      <c r="H108" s="28" t="s">
        <v>75</v>
      </c>
      <c r="I108" s="28"/>
      <c r="J108" s="28"/>
      <c r="K108" s="30"/>
      <c r="L108" s="28"/>
    </row>
    <row r="109" customFormat="false" ht="22.35" hidden="false" customHeight="false" outlineLevel="0" collapsed="false">
      <c r="A109" s="31" t="n">
        <v>108</v>
      </c>
      <c r="B109" s="31" t="s">
        <v>425</v>
      </c>
      <c r="C109" s="31" t="s">
        <v>420</v>
      </c>
      <c r="D109" s="31" t="s">
        <v>426</v>
      </c>
      <c r="E109" s="32" t="s">
        <v>102</v>
      </c>
      <c r="F109" s="31" t="s">
        <v>131</v>
      </c>
      <c r="G109" s="31" t="s">
        <v>422</v>
      </c>
      <c r="H109" s="31" t="s">
        <v>75</v>
      </c>
      <c r="I109" s="31"/>
      <c r="J109" s="31"/>
      <c r="K109" s="33"/>
      <c r="L109" s="31"/>
    </row>
    <row r="110" customFormat="false" ht="22.35" hidden="false" customHeight="false" outlineLevel="0" collapsed="false">
      <c r="A110" s="28" t="n">
        <v>109</v>
      </c>
      <c r="B110" s="28" t="s">
        <v>427</v>
      </c>
      <c r="C110" s="28" t="s">
        <v>420</v>
      </c>
      <c r="D110" s="28" t="s">
        <v>428</v>
      </c>
      <c r="E110" s="29" t="s">
        <v>102</v>
      </c>
      <c r="F110" s="28" t="s">
        <v>131</v>
      </c>
      <c r="G110" s="28" t="s">
        <v>422</v>
      </c>
      <c r="H110" s="28" t="s">
        <v>75</v>
      </c>
      <c r="I110" s="28"/>
      <c r="J110" s="28"/>
      <c r="K110" s="30"/>
      <c r="L110" s="28"/>
    </row>
    <row r="111" customFormat="false" ht="22.35" hidden="false" customHeight="false" outlineLevel="0" collapsed="false">
      <c r="A111" s="31" t="n">
        <v>110</v>
      </c>
      <c r="B111" s="31" t="s">
        <v>429</v>
      </c>
      <c r="C111" s="31" t="s">
        <v>420</v>
      </c>
      <c r="D111" s="31" t="s">
        <v>430</v>
      </c>
      <c r="E111" s="32" t="s">
        <v>102</v>
      </c>
      <c r="F111" s="31" t="s">
        <v>131</v>
      </c>
      <c r="G111" s="31" t="s">
        <v>422</v>
      </c>
      <c r="H111" s="31" t="s">
        <v>75</v>
      </c>
      <c r="I111" s="31"/>
      <c r="J111" s="31"/>
      <c r="K111" s="33"/>
      <c r="L111" s="31"/>
    </row>
    <row r="112" customFormat="false" ht="22.35" hidden="false" customHeight="false" outlineLevel="0" collapsed="false">
      <c r="A112" s="28" t="n">
        <v>111</v>
      </c>
      <c r="B112" s="28" t="s">
        <v>431</v>
      </c>
      <c r="C112" s="28" t="s">
        <v>420</v>
      </c>
      <c r="D112" s="28" t="s">
        <v>432</v>
      </c>
      <c r="E112" s="29" t="s">
        <v>102</v>
      </c>
      <c r="F112" s="28" t="s">
        <v>131</v>
      </c>
      <c r="G112" s="28" t="s">
        <v>422</v>
      </c>
      <c r="H112" s="28" t="s">
        <v>75</v>
      </c>
      <c r="I112" s="28"/>
      <c r="J112" s="28"/>
      <c r="K112" s="30"/>
      <c r="L112" s="28"/>
    </row>
    <row r="113" customFormat="false" ht="22.35" hidden="false" customHeight="false" outlineLevel="0" collapsed="false">
      <c r="A113" s="31" t="n">
        <v>112</v>
      </c>
      <c r="B113" s="31" t="s">
        <v>433</v>
      </c>
      <c r="C113" s="31" t="s">
        <v>420</v>
      </c>
      <c r="D113" s="31" t="s">
        <v>434</v>
      </c>
      <c r="E113" s="32" t="s">
        <v>102</v>
      </c>
      <c r="F113" s="31" t="s">
        <v>131</v>
      </c>
      <c r="G113" s="31" t="s">
        <v>422</v>
      </c>
      <c r="H113" s="31" t="s">
        <v>75</v>
      </c>
      <c r="I113" s="31"/>
      <c r="J113" s="31"/>
      <c r="K113" s="33"/>
      <c r="L113" s="31"/>
    </row>
    <row r="114" customFormat="false" ht="22.35" hidden="false" customHeight="false" outlineLevel="0" collapsed="false">
      <c r="A114" s="28" t="n">
        <v>113</v>
      </c>
      <c r="B114" s="28" t="s">
        <v>435</v>
      </c>
      <c r="C114" s="28" t="s">
        <v>420</v>
      </c>
      <c r="D114" s="28" t="s">
        <v>436</v>
      </c>
      <c r="E114" s="29" t="s">
        <v>102</v>
      </c>
      <c r="F114" s="28" t="s">
        <v>131</v>
      </c>
      <c r="G114" s="28" t="s">
        <v>422</v>
      </c>
      <c r="H114" s="28" t="s">
        <v>75</v>
      </c>
      <c r="I114" s="28"/>
      <c r="J114" s="28"/>
      <c r="K114" s="30"/>
      <c r="L114" s="28"/>
    </row>
    <row r="115" customFormat="false" ht="22.35" hidden="false" customHeight="false" outlineLevel="0" collapsed="false">
      <c r="A115" s="31" t="n">
        <v>114</v>
      </c>
      <c r="B115" s="31" t="s">
        <v>437</v>
      </c>
      <c r="C115" s="31" t="s">
        <v>420</v>
      </c>
      <c r="D115" s="31" t="s">
        <v>438</v>
      </c>
      <c r="E115" s="32" t="s">
        <v>102</v>
      </c>
      <c r="F115" s="31" t="s">
        <v>131</v>
      </c>
      <c r="G115" s="31" t="s">
        <v>422</v>
      </c>
      <c r="H115" s="31" t="s">
        <v>75</v>
      </c>
      <c r="I115" s="31"/>
      <c r="J115" s="31"/>
      <c r="K115" s="33"/>
      <c r="L115" s="31"/>
    </row>
    <row r="116" customFormat="false" ht="22.35" hidden="false" customHeight="false" outlineLevel="0" collapsed="false">
      <c r="A116" s="28" t="n">
        <v>115</v>
      </c>
      <c r="B116" s="28" t="s">
        <v>439</v>
      </c>
      <c r="C116" s="28" t="s">
        <v>420</v>
      </c>
      <c r="D116" s="28" t="s">
        <v>440</v>
      </c>
      <c r="E116" s="29" t="s">
        <v>102</v>
      </c>
      <c r="F116" s="28" t="s">
        <v>131</v>
      </c>
      <c r="G116" s="28" t="s">
        <v>422</v>
      </c>
      <c r="H116" s="28" t="s">
        <v>75</v>
      </c>
      <c r="I116" s="28"/>
      <c r="J116" s="28"/>
      <c r="K116" s="30"/>
      <c r="L116" s="28"/>
    </row>
    <row r="117" customFormat="false" ht="22.35" hidden="false" customHeight="false" outlineLevel="0" collapsed="false">
      <c r="A117" s="31" t="n">
        <v>116</v>
      </c>
      <c r="B117" s="31" t="s">
        <v>441</v>
      </c>
      <c r="C117" s="31" t="s">
        <v>420</v>
      </c>
      <c r="D117" s="31" t="s">
        <v>442</v>
      </c>
      <c r="E117" s="32" t="s">
        <v>102</v>
      </c>
      <c r="F117" s="31" t="s">
        <v>131</v>
      </c>
      <c r="G117" s="31" t="s">
        <v>422</v>
      </c>
      <c r="H117" s="31" t="s">
        <v>75</v>
      </c>
      <c r="I117" s="31"/>
      <c r="J117" s="31"/>
      <c r="K117" s="33"/>
      <c r="L117" s="31"/>
    </row>
    <row r="118" customFormat="false" ht="22.35" hidden="false" customHeight="false" outlineLevel="0" collapsed="false">
      <c r="A118" s="28" t="n">
        <v>117</v>
      </c>
      <c r="B118" s="28" t="s">
        <v>443</v>
      </c>
      <c r="C118" s="28" t="s">
        <v>420</v>
      </c>
      <c r="D118" s="28" t="s">
        <v>444</v>
      </c>
      <c r="E118" s="29" t="s">
        <v>102</v>
      </c>
      <c r="F118" s="28" t="s">
        <v>131</v>
      </c>
      <c r="G118" s="28" t="s">
        <v>422</v>
      </c>
      <c r="H118" s="28" t="s">
        <v>75</v>
      </c>
      <c r="I118" s="28"/>
      <c r="J118" s="28"/>
      <c r="K118" s="30"/>
      <c r="L118" s="28"/>
    </row>
    <row r="119" customFormat="false" ht="43.25" hidden="false" customHeight="false" outlineLevel="0" collapsed="false">
      <c r="A119" s="31" t="n">
        <v>118</v>
      </c>
      <c r="B119" s="31" t="s">
        <v>445</v>
      </c>
      <c r="C119" s="31" t="s">
        <v>446</v>
      </c>
      <c r="D119" s="31" t="s">
        <v>447</v>
      </c>
      <c r="E119" s="32" t="s">
        <v>72</v>
      </c>
      <c r="F119" s="31" t="s">
        <v>79</v>
      </c>
      <c r="G119" s="31" t="s">
        <v>448</v>
      </c>
      <c r="H119" s="31" t="s">
        <v>75</v>
      </c>
      <c r="I119" s="31"/>
      <c r="J119" s="31"/>
      <c r="K119" s="33"/>
      <c r="L119" s="31"/>
    </row>
    <row r="120" customFormat="false" ht="43.25" hidden="false" customHeight="false" outlineLevel="0" collapsed="false">
      <c r="A120" s="28" t="n">
        <v>119</v>
      </c>
      <c r="B120" s="28" t="s">
        <v>449</v>
      </c>
      <c r="C120" s="28" t="s">
        <v>450</v>
      </c>
      <c r="D120" s="28" t="s">
        <v>451</v>
      </c>
      <c r="E120" s="34" t="s">
        <v>83</v>
      </c>
      <c r="F120" s="28" t="s">
        <v>79</v>
      </c>
      <c r="G120" s="28" t="s">
        <v>452</v>
      </c>
      <c r="H120" s="28" t="s">
        <v>75</v>
      </c>
      <c r="I120" s="28"/>
      <c r="J120" s="28"/>
      <c r="K120" s="30"/>
      <c r="L120" s="28"/>
    </row>
    <row r="121" customFormat="false" ht="22.35" hidden="false" customHeight="false" outlineLevel="0" collapsed="false">
      <c r="A121" s="31" t="n">
        <v>120</v>
      </c>
      <c r="B121" s="31" t="s">
        <v>453</v>
      </c>
      <c r="C121" s="31" t="s">
        <v>450</v>
      </c>
      <c r="D121" s="31" t="s">
        <v>454</v>
      </c>
      <c r="E121" s="32" t="s">
        <v>72</v>
      </c>
      <c r="F121" s="31" t="s">
        <v>131</v>
      </c>
      <c r="G121" s="31" t="s">
        <v>455</v>
      </c>
      <c r="H121" s="31" t="s">
        <v>75</v>
      </c>
      <c r="I121" s="31"/>
      <c r="J121" s="31"/>
      <c r="K121" s="33"/>
      <c r="L121" s="31"/>
    </row>
    <row r="122" customFormat="false" ht="22.35" hidden="false" customHeight="false" outlineLevel="0" collapsed="false">
      <c r="A122" s="28" t="n">
        <v>121</v>
      </c>
      <c r="B122" s="28" t="s">
        <v>456</v>
      </c>
      <c r="C122" s="28" t="s">
        <v>450</v>
      </c>
      <c r="D122" s="28" t="s">
        <v>457</v>
      </c>
      <c r="E122" s="29" t="s">
        <v>102</v>
      </c>
      <c r="F122" s="28" t="s">
        <v>131</v>
      </c>
      <c r="G122" s="28" t="s">
        <v>458</v>
      </c>
      <c r="H122" s="28" t="s">
        <v>75</v>
      </c>
      <c r="I122" s="28"/>
      <c r="J122" s="28"/>
      <c r="K122" s="30"/>
      <c r="L122" s="28"/>
    </row>
    <row r="123" customFormat="false" ht="22.35" hidden="false" customHeight="false" outlineLevel="0" collapsed="false">
      <c r="A123" s="31" t="n">
        <v>122</v>
      </c>
      <c r="B123" s="31" t="s">
        <v>459</v>
      </c>
      <c r="C123" s="31" t="s">
        <v>450</v>
      </c>
      <c r="D123" s="31" t="s">
        <v>460</v>
      </c>
      <c r="E123" s="32" t="s">
        <v>102</v>
      </c>
      <c r="F123" s="31" t="s">
        <v>461</v>
      </c>
      <c r="G123" s="31" t="s">
        <v>462</v>
      </c>
      <c r="H123" s="31" t="s">
        <v>75</v>
      </c>
      <c r="I123" s="31"/>
      <c r="J123" s="31"/>
      <c r="K123" s="33"/>
      <c r="L123" s="31"/>
    </row>
    <row r="124" customFormat="false" ht="32.8" hidden="false" customHeight="false" outlineLevel="0" collapsed="false">
      <c r="A124" s="28" t="n">
        <v>123</v>
      </c>
      <c r="B124" s="28" t="s">
        <v>463</v>
      </c>
      <c r="C124" s="28" t="s">
        <v>450</v>
      </c>
      <c r="D124" s="28" t="s">
        <v>464</v>
      </c>
      <c r="E124" s="34" t="s">
        <v>83</v>
      </c>
      <c r="F124" s="28" t="s">
        <v>94</v>
      </c>
      <c r="G124" s="28" t="s">
        <v>465</v>
      </c>
      <c r="H124" s="28" t="s">
        <v>75</v>
      </c>
      <c r="I124" s="28"/>
      <c r="J124" s="28"/>
      <c r="K124" s="30"/>
      <c r="L124" s="28"/>
    </row>
    <row r="125" customFormat="false" ht="22.35" hidden="false" customHeight="false" outlineLevel="0" collapsed="false">
      <c r="A125" s="31" t="n">
        <v>124</v>
      </c>
      <c r="B125" s="31" t="s">
        <v>466</v>
      </c>
      <c r="C125" s="31" t="s">
        <v>450</v>
      </c>
      <c r="D125" s="31" t="s">
        <v>467</v>
      </c>
      <c r="E125" s="32" t="s">
        <v>102</v>
      </c>
      <c r="F125" s="31" t="s">
        <v>468</v>
      </c>
      <c r="G125" s="31" t="s">
        <v>469</v>
      </c>
      <c r="H125" s="31" t="s">
        <v>75</v>
      </c>
      <c r="I125" s="31"/>
      <c r="J125" s="31"/>
      <c r="K125" s="33"/>
      <c r="L125" s="31"/>
    </row>
    <row r="126" customFormat="false" ht="22.35" hidden="false" customHeight="false" outlineLevel="0" collapsed="false">
      <c r="A126" s="28" t="n">
        <v>125</v>
      </c>
      <c r="B126" s="28" t="s">
        <v>470</v>
      </c>
      <c r="C126" s="28" t="s">
        <v>450</v>
      </c>
      <c r="D126" s="28" t="s">
        <v>471</v>
      </c>
      <c r="E126" s="29" t="s">
        <v>102</v>
      </c>
      <c r="F126" s="28" t="s">
        <v>472</v>
      </c>
      <c r="G126" s="28" t="s">
        <v>473</v>
      </c>
      <c r="H126" s="28" t="s">
        <v>75</v>
      </c>
      <c r="I126" s="28"/>
      <c r="J126" s="28"/>
      <c r="K126" s="30"/>
      <c r="L126" s="28"/>
    </row>
    <row r="127" customFormat="false" ht="22.35" hidden="false" customHeight="false" outlineLevel="0" collapsed="false">
      <c r="A127" s="31" t="n">
        <v>126</v>
      </c>
      <c r="B127" s="31" t="s">
        <v>474</v>
      </c>
      <c r="C127" s="31" t="s">
        <v>450</v>
      </c>
      <c r="D127" s="31" t="s">
        <v>475</v>
      </c>
      <c r="E127" s="32" t="s">
        <v>102</v>
      </c>
      <c r="F127" s="31" t="s">
        <v>73</v>
      </c>
      <c r="G127" s="31" t="s">
        <v>476</v>
      </c>
      <c r="H127" s="31" t="s">
        <v>75</v>
      </c>
      <c r="I127" s="31"/>
      <c r="J127" s="31"/>
      <c r="K127" s="33"/>
      <c r="L127" s="31"/>
    </row>
    <row r="128" customFormat="false" ht="22.35" hidden="false" customHeight="false" outlineLevel="0" collapsed="false">
      <c r="A128" s="28" t="n">
        <v>127</v>
      </c>
      <c r="B128" s="28" t="s">
        <v>477</v>
      </c>
      <c r="C128" s="28" t="s">
        <v>478</v>
      </c>
      <c r="D128" s="28" t="s">
        <v>479</v>
      </c>
      <c r="E128" s="29" t="s">
        <v>102</v>
      </c>
      <c r="F128" s="28" t="s">
        <v>73</v>
      </c>
      <c r="G128" s="28" t="s">
        <v>480</v>
      </c>
      <c r="H128" s="28" t="s">
        <v>75</v>
      </c>
      <c r="I128" s="28"/>
      <c r="J128" s="28"/>
      <c r="K128" s="30"/>
      <c r="L128" s="28"/>
    </row>
    <row r="129" customFormat="false" ht="43.25" hidden="false" customHeight="false" outlineLevel="0" collapsed="false">
      <c r="A129" s="31" t="n">
        <v>128</v>
      </c>
      <c r="B129" s="31" t="s">
        <v>481</v>
      </c>
      <c r="C129" s="31" t="s">
        <v>478</v>
      </c>
      <c r="D129" s="31" t="s">
        <v>482</v>
      </c>
      <c r="E129" s="32" t="s">
        <v>102</v>
      </c>
      <c r="F129" s="31" t="s">
        <v>73</v>
      </c>
      <c r="G129" s="31" t="s">
        <v>483</v>
      </c>
      <c r="H129" s="31" t="s">
        <v>75</v>
      </c>
      <c r="I129" s="31"/>
      <c r="J129" s="31"/>
      <c r="K129" s="33"/>
      <c r="L129" s="31"/>
    </row>
    <row r="130" customFormat="false" ht="22.35" hidden="false" customHeight="false" outlineLevel="0" collapsed="false">
      <c r="A130" s="28" t="n">
        <v>129</v>
      </c>
      <c r="B130" s="28" t="s">
        <v>484</v>
      </c>
      <c r="C130" s="28" t="s">
        <v>450</v>
      </c>
      <c r="D130" s="28" t="s">
        <v>485</v>
      </c>
      <c r="E130" s="34" t="s">
        <v>83</v>
      </c>
      <c r="F130" s="28" t="s">
        <v>79</v>
      </c>
      <c r="G130" s="28" t="s">
        <v>486</v>
      </c>
      <c r="H130" s="28" t="s">
        <v>75</v>
      </c>
      <c r="I130" s="28"/>
      <c r="J130" s="28"/>
      <c r="K130" s="30"/>
      <c r="L130" s="28"/>
    </row>
    <row r="131" customFormat="false" ht="64.15" hidden="false" customHeight="false" outlineLevel="0" collapsed="false">
      <c r="A131" s="31" t="n">
        <v>130</v>
      </c>
      <c r="B131" s="31" t="s">
        <v>487</v>
      </c>
      <c r="C131" s="31" t="s">
        <v>488</v>
      </c>
      <c r="D131" s="31" t="s">
        <v>489</v>
      </c>
      <c r="E131" s="35" t="s">
        <v>83</v>
      </c>
      <c r="F131" s="31" t="s">
        <v>73</v>
      </c>
      <c r="G131" s="31" t="s">
        <v>490</v>
      </c>
      <c r="H131" s="31" t="s">
        <v>75</v>
      </c>
      <c r="I131" s="31"/>
      <c r="J131" s="31"/>
      <c r="K131" s="33"/>
      <c r="L131" s="31"/>
    </row>
    <row r="132" customFormat="false" ht="53.7" hidden="false" customHeight="false" outlineLevel="0" collapsed="false">
      <c r="A132" s="28" t="n">
        <v>131</v>
      </c>
      <c r="B132" s="28" t="s">
        <v>491</v>
      </c>
      <c r="C132" s="28" t="s">
        <v>488</v>
      </c>
      <c r="D132" s="28" t="s">
        <v>492</v>
      </c>
      <c r="E132" s="34" t="s">
        <v>83</v>
      </c>
      <c r="F132" s="28" t="s">
        <v>493</v>
      </c>
      <c r="G132" s="28" t="s">
        <v>494</v>
      </c>
      <c r="H132" s="28" t="s">
        <v>75</v>
      </c>
      <c r="I132" s="28"/>
      <c r="J132" s="28"/>
      <c r="K132" s="30"/>
      <c r="L132" s="28"/>
    </row>
    <row r="133" customFormat="false" ht="32.8" hidden="false" customHeight="false" outlineLevel="0" collapsed="false">
      <c r="A133" s="31" t="n">
        <v>132</v>
      </c>
      <c r="B133" s="31" t="s">
        <v>495</v>
      </c>
      <c r="C133" s="31" t="s">
        <v>488</v>
      </c>
      <c r="D133" s="31" t="s">
        <v>496</v>
      </c>
      <c r="E133" s="35" t="s">
        <v>83</v>
      </c>
      <c r="F133" s="31" t="s">
        <v>79</v>
      </c>
      <c r="G133" s="31" t="s">
        <v>497</v>
      </c>
      <c r="H133" s="31" t="s">
        <v>75</v>
      </c>
      <c r="I133" s="31"/>
      <c r="J133" s="31"/>
      <c r="K133" s="33"/>
      <c r="L133" s="31"/>
    </row>
    <row r="134" customFormat="false" ht="22.35" hidden="false" customHeight="false" outlineLevel="0" collapsed="false">
      <c r="A134" s="28" t="n">
        <v>133</v>
      </c>
      <c r="B134" s="28" t="s">
        <v>498</v>
      </c>
      <c r="C134" s="28" t="s">
        <v>488</v>
      </c>
      <c r="D134" s="28" t="s">
        <v>499</v>
      </c>
      <c r="E134" s="34" t="s">
        <v>83</v>
      </c>
      <c r="F134" s="28" t="s">
        <v>79</v>
      </c>
      <c r="G134" s="28" t="s">
        <v>500</v>
      </c>
      <c r="H134" s="28" t="s">
        <v>75</v>
      </c>
      <c r="I134" s="28"/>
      <c r="J134" s="28"/>
      <c r="K134" s="30"/>
      <c r="L134" s="28"/>
    </row>
    <row r="135" customFormat="false" ht="22.35" hidden="false" customHeight="false" outlineLevel="0" collapsed="false">
      <c r="A135" s="31" t="n">
        <v>134</v>
      </c>
      <c r="B135" s="31" t="s">
        <v>501</v>
      </c>
      <c r="C135" s="31" t="s">
        <v>488</v>
      </c>
      <c r="D135" s="31" t="s">
        <v>502</v>
      </c>
      <c r="E135" s="35" t="s">
        <v>83</v>
      </c>
      <c r="F135" s="31" t="s">
        <v>79</v>
      </c>
      <c r="G135" s="31" t="s">
        <v>503</v>
      </c>
      <c r="H135" s="31" t="s">
        <v>75</v>
      </c>
      <c r="I135" s="31"/>
      <c r="J135" s="31"/>
      <c r="K135" s="33"/>
      <c r="L135" s="31"/>
    </row>
    <row r="136" customFormat="false" ht="22.35" hidden="false" customHeight="false" outlineLevel="0" collapsed="false">
      <c r="A136" s="28" t="n">
        <v>135</v>
      </c>
      <c r="B136" s="28" t="s">
        <v>504</v>
      </c>
      <c r="C136" s="28" t="s">
        <v>488</v>
      </c>
      <c r="D136" s="28" t="s">
        <v>505</v>
      </c>
      <c r="E136" s="34" t="s">
        <v>83</v>
      </c>
      <c r="F136" s="28" t="s">
        <v>79</v>
      </c>
      <c r="G136" s="28" t="s">
        <v>506</v>
      </c>
      <c r="H136" s="28" t="s">
        <v>75</v>
      </c>
      <c r="I136" s="28"/>
      <c r="J136" s="28"/>
      <c r="K136" s="30"/>
      <c r="L136" s="28"/>
    </row>
    <row r="137" customFormat="false" ht="22.35" hidden="false" customHeight="false" outlineLevel="0" collapsed="false">
      <c r="A137" s="31" t="n">
        <v>136</v>
      </c>
      <c r="B137" s="31" t="s">
        <v>507</v>
      </c>
      <c r="C137" s="31" t="s">
        <v>488</v>
      </c>
      <c r="D137" s="31" t="s">
        <v>508</v>
      </c>
      <c r="E137" s="35" t="s">
        <v>83</v>
      </c>
      <c r="F137" s="31" t="s">
        <v>79</v>
      </c>
      <c r="G137" s="31" t="s">
        <v>509</v>
      </c>
      <c r="H137" s="31" t="s">
        <v>75</v>
      </c>
      <c r="I137" s="31"/>
      <c r="J137" s="31"/>
      <c r="K137" s="33"/>
      <c r="L137" s="31"/>
    </row>
    <row r="138" customFormat="false" ht="22.35" hidden="false" customHeight="false" outlineLevel="0" collapsed="false">
      <c r="A138" s="28" t="n">
        <v>137</v>
      </c>
      <c r="B138" s="28" t="s">
        <v>510</v>
      </c>
      <c r="C138" s="28" t="s">
        <v>488</v>
      </c>
      <c r="D138" s="28" t="s">
        <v>511</v>
      </c>
      <c r="E138" s="34" t="s">
        <v>83</v>
      </c>
      <c r="F138" s="28" t="s">
        <v>79</v>
      </c>
      <c r="G138" s="28" t="s">
        <v>512</v>
      </c>
      <c r="H138" s="28" t="s">
        <v>75</v>
      </c>
      <c r="I138" s="28"/>
      <c r="J138" s="28"/>
      <c r="K138" s="30"/>
      <c r="L138" s="28"/>
    </row>
    <row r="139" customFormat="false" ht="32.8" hidden="false" customHeight="false" outlineLevel="0" collapsed="false">
      <c r="A139" s="31" t="n">
        <v>138</v>
      </c>
      <c r="B139" s="31" t="s">
        <v>513</v>
      </c>
      <c r="C139" s="31" t="s">
        <v>488</v>
      </c>
      <c r="D139" s="31" t="s">
        <v>514</v>
      </c>
      <c r="E139" s="35" t="s">
        <v>83</v>
      </c>
      <c r="F139" s="31" t="s">
        <v>79</v>
      </c>
      <c r="G139" s="31" t="s">
        <v>515</v>
      </c>
      <c r="H139" s="31" t="s">
        <v>75</v>
      </c>
      <c r="I139" s="31"/>
      <c r="J139" s="31"/>
      <c r="K139" s="33"/>
      <c r="L139" s="31"/>
    </row>
    <row r="140" customFormat="false" ht="22.35" hidden="false" customHeight="false" outlineLevel="0" collapsed="false">
      <c r="A140" s="28" t="n">
        <v>139</v>
      </c>
      <c r="B140" s="28" t="s">
        <v>516</v>
      </c>
      <c r="C140" s="28" t="s">
        <v>488</v>
      </c>
      <c r="D140" s="28" t="s">
        <v>517</v>
      </c>
      <c r="E140" s="34" t="s">
        <v>83</v>
      </c>
      <c r="F140" s="28" t="s">
        <v>79</v>
      </c>
      <c r="G140" s="28" t="s">
        <v>518</v>
      </c>
      <c r="H140" s="28" t="s">
        <v>75</v>
      </c>
      <c r="I140" s="28"/>
      <c r="J140" s="28"/>
      <c r="K140" s="30"/>
      <c r="L140" s="28"/>
    </row>
    <row r="141" customFormat="false" ht="22.35" hidden="false" customHeight="false" outlineLevel="0" collapsed="false">
      <c r="A141" s="31" t="n">
        <v>140</v>
      </c>
      <c r="B141" s="31" t="s">
        <v>519</v>
      </c>
      <c r="C141" s="31" t="s">
        <v>488</v>
      </c>
      <c r="D141" s="31" t="s">
        <v>520</v>
      </c>
      <c r="E141" s="35" t="s">
        <v>83</v>
      </c>
      <c r="F141" s="31" t="s">
        <v>79</v>
      </c>
      <c r="G141" s="31" t="s">
        <v>521</v>
      </c>
      <c r="H141" s="31" t="s">
        <v>75</v>
      </c>
      <c r="I141" s="31"/>
      <c r="J141" s="31"/>
      <c r="K141" s="33"/>
      <c r="L141" s="31"/>
    </row>
    <row r="142" customFormat="false" ht="32.8" hidden="false" customHeight="false" outlineLevel="0" collapsed="false">
      <c r="A142" s="28" t="n">
        <v>141</v>
      </c>
      <c r="B142" s="28" t="s">
        <v>522</v>
      </c>
      <c r="C142" s="28" t="s">
        <v>488</v>
      </c>
      <c r="D142" s="28" t="s">
        <v>523</v>
      </c>
      <c r="E142" s="34" t="s">
        <v>83</v>
      </c>
      <c r="F142" s="28" t="s">
        <v>79</v>
      </c>
      <c r="G142" s="28" t="s">
        <v>524</v>
      </c>
      <c r="H142" s="28" t="s">
        <v>75</v>
      </c>
      <c r="I142" s="28"/>
      <c r="J142" s="28"/>
      <c r="K142" s="30"/>
      <c r="L142" s="28"/>
    </row>
    <row r="143" customFormat="false" ht="22.35" hidden="false" customHeight="false" outlineLevel="0" collapsed="false">
      <c r="A143" s="31" t="n">
        <v>142</v>
      </c>
      <c r="B143" s="31" t="s">
        <v>525</v>
      </c>
      <c r="C143" s="31" t="s">
        <v>488</v>
      </c>
      <c r="D143" s="31" t="s">
        <v>526</v>
      </c>
      <c r="E143" s="35" t="s">
        <v>83</v>
      </c>
      <c r="F143" s="31" t="s">
        <v>79</v>
      </c>
      <c r="G143" s="31" t="s">
        <v>527</v>
      </c>
      <c r="H143" s="31" t="s">
        <v>75</v>
      </c>
      <c r="I143" s="31"/>
      <c r="J143" s="31"/>
      <c r="K143" s="33"/>
      <c r="L143" s="31"/>
    </row>
    <row r="144" customFormat="false" ht="32.8" hidden="false" customHeight="false" outlineLevel="0" collapsed="false">
      <c r="A144" s="28" t="n">
        <v>143</v>
      </c>
      <c r="B144" s="28" t="s">
        <v>528</v>
      </c>
      <c r="C144" s="28" t="s">
        <v>488</v>
      </c>
      <c r="D144" s="28" t="s">
        <v>529</v>
      </c>
      <c r="E144" s="34" t="s">
        <v>83</v>
      </c>
      <c r="F144" s="28" t="s">
        <v>79</v>
      </c>
      <c r="G144" s="28" t="s">
        <v>530</v>
      </c>
      <c r="H144" s="28" t="s">
        <v>75</v>
      </c>
      <c r="I144" s="28"/>
      <c r="J144" s="28"/>
      <c r="K144" s="30"/>
      <c r="L144" s="28"/>
    </row>
    <row r="145" customFormat="false" ht="22.35" hidden="false" customHeight="false" outlineLevel="0" collapsed="false">
      <c r="A145" s="31" t="n">
        <v>144</v>
      </c>
      <c r="B145" s="31" t="s">
        <v>531</v>
      </c>
      <c r="C145" s="31" t="s">
        <v>446</v>
      </c>
      <c r="D145" s="31" t="s">
        <v>532</v>
      </c>
      <c r="E145" s="32" t="s">
        <v>72</v>
      </c>
      <c r="F145" s="31" t="s">
        <v>73</v>
      </c>
      <c r="G145" s="31" t="s">
        <v>533</v>
      </c>
      <c r="H145" s="31" t="s">
        <v>75</v>
      </c>
      <c r="I145" s="31"/>
      <c r="J145" s="31"/>
      <c r="K145" s="33"/>
      <c r="L145" s="31"/>
    </row>
    <row r="146" customFormat="false" ht="43.25" hidden="false" customHeight="false" outlineLevel="0" collapsed="false">
      <c r="A146" s="28" t="n">
        <v>145</v>
      </c>
      <c r="B146" s="28" t="s">
        <v>534</v>
      </c>
      <c r="C146" s="28" t="s">
        <v>77</v>
      </c>
      <c r="D146" s="28" t="s">
        <v>535</v>
      </c>
      <c r="E146" s="34" t="s">
        <v>83</v>
      </c>
      <c r="F146" s="28" t="s">
        <v>79</v>
      </c>
      <c r="G146" s="28" t="s">
        <v>536</v>
      </c>
      <c r="H146" s="28" t="s">
        <v>75</v>
      </c>
      <c r="I146" s="28"/>
      <c r="J146" s="28"/>
      <c r="K146" s="30"/>
      <c r="L146" s="28"/>
    </row>
    <row r="147" customFormat="false" ht="22.35" hidden="false" customHeight="false" outlineLevel="0" collapsed="false">
      <c r="A147" s="31" t="n">
        <v>146</v>
      </c>
      <c r="B147" s="31" t="s">
        <v>537</v>
      </c>
      <c r="C147" s="31" t="s">
        <v>138</v>
      </c>
      <c r="D147" s="31" t="s">
        <v>538</v>
      </c>
      <c r="E147" s="35" t="s">
        <v>83</v>
      </c>
      <c r="F147" s="31" t="s">
        <v>73</v>
      </c>
      <c r="G147" s="31" t="s">
        <v>539</v>
      </c>
      <c r="H147" s="31" t="s">
        <v>75</v>
      </c>
      <c r="I147" s="31"/>
      <c r="J147" s="31"/>
      <c r="K147" s="33"/>
      <c r="L147" s="31"/>
    </row>
  </sheetData>
  <autoFilter ref="A1:L147"/>
  <conditionalFormatting sqref="H2:H147">
    <cfRule type="cellIs" priority="2" operator="equal" aboveAverage="0" equalAverage="0" bottom="0" percent="0" rank="0" text="" dxfId="5">
      <formula>"Met"</formula>
    </cfRule>
    <cfRule type="cellIs" priority="3" operator="equal" aboveAverage="0" equalAverage="0" bottom="0" percent="0" rank="0" text="" dxfId="6">
      <formula>"Partly met"</formula>
    </cfRule>
    <cfRule type="cellIs" priority="4" operator="equal" aboveAverage="0" equalAverage="0" bottom="0" percent="0" rank="0" text="" dxfId="7">
      <formula>"Not met"</formula>
    </cfRule>
    <cfRule type="cellIs" priority="5" operator="equal" aboveAverage="0" equalAverage="0" bottom="0" percent="0" rank="0" text="" dxfId="8">
      <formula>"Not applicable"</formula>
    </cfRule>
  </conditionalFormatting>
  <dataValidations count="1">
    <dataValidation allowBlank="true" error="Choose a value from the list" errorStyle="stop" errorTitle="Not on the list" operator="between" showDropDown="false" showErrorMessage="false" showInputMessage="false" sqref="H2:H147" type="list">
      <formula1>"Met,Partly met,Not met,Not applicable,Not assessed"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64"/>
    <col collapsed="false" customWidth="true" hidden="false" outlineLevel="0" max="4" min="4" style="0" width="12"/>
    <col collapsed="false" customWidth="true" hidden="false" outlineLevel="0" max="5" min="5" style="0" width="44"/>
    <col collapsed="false" customWidth="true" hidden="false" outlineLevel="0" max="6" min="6" style="0" width="18"/>
    <col collapsed="false" customWidth="true" hidden="false" outlineLevel="0" max="7" min="7" style="0" width="30"/>
  </cols>
  <sheetData>
    <row r="1" customFormat="false" ht="31.5" hidden="false" customHeight="true" outlineLevel="0" collapsed="false">
      <c r="A1" s="27" t="s">
        <v>59</v>
      </c>
      <c r="B1" s="27" t="s">
        <v>540</v>
      </c>
      <c r="C1" s="27" t="s">
        <v>541</v>
      </c>
      <c r="D1" s="27" t="s">
        <v>542</v>
      </c>
      <c r="E1" s="27" t="s">
        <v>543</v>
      </c>
      <c r="F1" s="27" t="s">
        <v>544</v>
      </c>
      <c r="G1" s="27" t="s">
        <v>68</v>
      </c>
    </row>
    <row r="2" customFormat="false" ht="15" hidden="false" customHeight="false" outlineLevel="0" collapsed="false">
      <c r="A2" s="28" t="n">
        <v>1</v>
      </c>
      <c r="B2" s="28" t="s">
        <v>545</v>
      </c>
      <c r="C2" s="28" t="s">
        <v>546</v>
      </c>
      <c r="D2" s="28"/>
      <c r="E2" s="28"/>
      <c r="F2" s="28"/>
      <c r="G2" s="28"/>
    </row>
    <row r="3" customFormat="false" ht="15" hidden="false" customHeight="false" outlineLevel="0" collapsed="false">
      <c r="A3" s="31" t="n">
        <v>2</v>
      </c>
      <c r="B3" s="31" t="s">
        <v>547</v>
      </c>
      <c r="C3" s="31" t="s">
        <v>548</v>
      </c>
      <c r="D3" s="31"/>
      <c r="E3" s="31"/>
      <c r="F3" s="31"/>
      <c r="G3" s="31"/>
    </row>
    <row r="4" customFormat="false" ht="15" hidden="false" customHeight="false" outlineLevel="0" collapsed="false">
      <c r="A4" s="28" t="n">
        <v>3</v>
      </c>
      <c r="B4" s="28" t="s">
        <v>549</v>
      </c>
      <c r="C4" s="28" t="s">
        <v>550</v>
      </c>
      <c r="D4" s="28"/>
      <c r="E4" s="28"/>
      <c r="F4" s="28"/>
      <c r="G4" s="28"/>
    </row>
    <row r="5" customFormat="false" ht="32.8" hidden="false" customHeight="false" outlineLevel="0" collapsed="false">
      <c r="A5" s="31" t="n">
        <v>4</v>
      </c>
      <c r="B5" s="31" t="s">
        <v>551</v>
      </c>
      <c r="C5" s="31" t="s">
        <v>552</v>
      </c>
      <c r="D5" s="31"/>
      <c r="E5" s="31"/>
      <c r="F5" s="31"/>
      <c r="G5" s="31"/>
    </row>
    <row r="6" customFormat="false" ht="22.35" hidden="false" customHeight="false" outlineLevel="0" collapsed="false">
      <c r="A6" s="28" t="n">
        <v>5</v>
      </c>
      <c r="B6" s="28" t="s">
        <v>553</v>
      </c>
      <c r="C6" s="28" t="s">
        <v>554</v>
      </c>
      <c r="D6" s="28"/>
      <c r="E6" s="28"/>
      <c r="F6" s="28"/>
      <c r="G6" s="28"/>
    </row>
    <row r="7" customFormat="false" ht="15" hidden="false" customHeight="false" outlineLevel="0" collapsed="false">
      <c r="A7" s="31" t="n">
        <v>6</v>
      </c>
      <c r="B7" s="31" t="s">
        <v>555</v>
      </c>
      <c r="C7" s="31" t="s">
        <v>556</v>
      </c>
      <c r="D7" s="31"/>
      <c r="E7" s="31"/>
      <c r="F7" s="31"/>
      <c r="G7" s="31"/>
    </row>
    <row r="8" customFormat="false" ht="32.8" hidden="false" customHeight="false" outlineLevel="0" collapsed="false">
      <c r="A8" s="28" t="n">
        <v>7</v>
      </c>
      <c r="B8" s="28" t="s">
        <v>557</v>
      </c>
      <c r="C8" s="28" t="s">
        <v>558</v>
      </c>
      <c r="D8" s="28"/>
      <c r="E8" s="28"/>
      <c r="F8" s="28"/>
      <c r="G8" s="28"/>
    </row>
    <row r="9" customFormat="false" ht="22.35" hidden="false" customHeight="false" outlineLevel="0" collapsed="false">
      <c r="A9" s="31" t="n">
        <v>8</v>
      </c>
      <c r="B9" s="31" t="s">
        <v>559</v>
      </c>
      <c r="C9" s="31" t="s">
        <v>560</v>
      </c>
      <c r="D9" s="31"/>
      <c r="E9" s="31"/>
      <c r="F9" s="31"/>
      <c r="G9" s="31"/>
    </row>
    <row r="10" customFormat="false" ht="22.35" hidden="false" customHeight="false" outlineLevel="0" collapsed="false">
      <c r="A10" s="28" t="n">
        <v>9</v>
      </c>
      <c r="B10" s="28" t="s">
        <v>561</v>
      </c>
      <c r="C10" s="28" t="s">
        <v>562</v>
      </c>
      <c r="D10" s="28"/>
      <c r="E10" s="28"/>
      <c r="F10" s="28"/>
      <c r="G10" s="28"/>
    </row>
    <row r="11" customFormat="false" ht="15" hidden="false" customHeight="false" outlineLevel="0" collapsed="false">
      <c r="A11" s="31" t="n">
        <v>10</v>
      </c>
      <c r="B11" s="31" t="s">
        <v>563</v>
      </c>
      <c r="C11" s="31" t="s">
        <v>564</v>
      </c>
      <c r="D11" s="31"/>
      <c r="E11" s="31"/>
      <c r="F11" s="31"/>
      <c r="G11" s="31"/>
    </row>
    <row r="12" customFormat="false" ht="22.35" hidden="false" customHeight="false" outlineLevel="0" collapsed="false">
      <c r="A12" s="28" t="n">
        <v>11</v>
      </c>
      <c r="B12" s="28" t="s">
        <v>565</v>
      </c>
      <c r="C12" s="28" t="s">
        <v>566</v>
      </c>
      <c r="D12" s="28"/>
      <c r="E12" s="28"/>
      <c r="F12" s="28"/>
      <c r="G12" s="28"/>
    </row>
    <row r="13" customFormat="false" ht="22.35" hidden="false" customHeight="false" outlineLevel="0" collapsed="false">
      <c r="A13" s="31" t="n">
        <v>12</v>
      </c>
      <c r="B13" s="31" t="s">
        <v>567</v>
      </c>
      <c r="C13" s="31" t="s">
        <v>568</v>
      </c>
      <c r="D13" s="31"/>
      <c r="E13" s="31"/>
      <c r="F13" s="31"/>
      <c r="G13" s="31"/>
    </row>
    <row r="14" customFormat="false" ht="15" hidden="false" customHeight="false" outlineLevel="0" collapsed="false">
      <c r="A14" s="28" t="n">
        <v>13</v>
      </c>
      <c r="B14" s="28" t="s">
        <v>569</v>
      </c>
      <c r="C14" s="28" t="s">
        <v>570</v>
      </c>
      <c r="D14" s="28"/>
      <c r="E14" s="28"/>
      <c r="F14" s="28"/>
      <c r="G14" s="28"/>
    </row>
    <row r="15" customFormat="false" ht="22.35" hidden="false" customHeight="false" outlineLevel="0" collapsed="false">
      <c r="A15" s="31" t="n">
        <v>14</v>
      </c>
      <c r="B15" s="31" t="s">
        <v>571</v>
      </c>
      <c r="C15" s="31" t="s">
        <v>572</v>
      </c>
      <c r="D15" s="31"/>
      <c r="E15" s="31"/>
      <c r="F15" s="31"/>
      <c r="G15" s="31"/>
    </row>
    <row r="16" customFormat="false" ht="15" hidden="false" customHeight="false" outlineLevel="0" collapsed="false">
      <c r="A16" s="28" t="n">
        <v>15</v>
      </c>
      <c r="B16" s="28" t="s">
        <v>573</v>
      </c>
      <c r="C16" s="28" t="s">
        <v>574</v>
      </c>
      <c r="D16" s="28"/>
      <c r="E16" s="28"/>
      <c r="F16" s="28"/>
      <c r="G16" s="28"/>
    </row>
    <row r="17" customFormat="false" ht="22.35" hidden="false" customHeight="false" outlineLevel="0" collapsed="false">
      <c r="A17" s="31" t="n">
        <v>16</v>
      </c>
      <c r="B17" s="31" t="s">
        <v>575</v>
      </c>
      <c r="C17" s="31" t="s">
        <v>576</v>
      </c>
      <c r="D17" s="31"/>
      <c r="E17" s="31"/>
      <c r="F17" s="31"/>
      <c r="G17" s="31"/>
    </row>
    <row r="18" customFormat="false" ht="15" hidden="false" customHeight="false" outlineLevel="0" collapsed="false">
      <c r="A18" s="28" t="n">
        <v>17</v>
      </c>
      <c r="B18" s="28" t="s">
        <v>577</v>
      </c>
      <c r="C18" s="28" t="s">
        <v>578</v>
      </c>
      <c r="D18" s="28"/>
      <c r="E18" s="28"/>
      <c r="F18" s="28"/>
      <c r="G18" s="28"/>
    </row>
    <row r="19" customFormat="false" ht="15" hidden="false" customHeight="false" outlineLevel="0" collapsed="false">
      <c r="A19" s="31" t="n">
        <v>18</v>
      </c>
      <c r="B19" s="31" t="s">
        <v>579</v>
      </c>
      <c r="C19" s="31" t="s">
        <v>580</v>
      </c>
      <c r="D19" s="31"/>
      <c r="E19" s="31"/>
      <c r="F19" s="31"/>
      <c r="G19" s="31"/>
    </row>
    <row r="20" customFormat="false" ht="15" hidden="false" customHeight="false" outlineLevel="0" collapsed="false">
      <c r="A20" s="28" t="n">
        <v>19</v>
      </c>
      <c r="B20" s="28" t="s">
        <v>581</v>
      </c>
      <c r="C20" s="28" t="s">
        <v>582</v>
      </c>
      <c r="D20" s="28"/>
      <c r="E20" s="28"/>
      <c r="F20" s="28"/>
      <c r="G20" s="28"/>
    </row>
    <row r="21" customFormat="false" ht="15" hidden="false" customHeight="false" outlineLevel="0" collapsed="false">
      <c r="A21" s="31" t="n">
        <v>20</v>
      </c>
      <c r="B21" s="31" t="s">
        <v>583</v>
      </c>
      <c r="C21" s="31" t="s">
        <v>584</v>
      </c>
      <c r="D21" s="31"/>
      <c r="E21" s="31"/>
      <c r="F21" s="31"/>
      <c r="G21" s="31"/>
    </row>
    <row r="22" customFormat="false" ht="15" hidden="false" customHeight="false" outlineLevel="0" collapsed="false">
      <c r="A22" s="28" t="n">
        <v>21</v>
      </c>
      <c r="B22" s="28" t="s">
        <v>585</v>
      </c>
      <c r="C22" s="28" t="s">
        <v>586</v>
      </c>
      <c r="D22" s="28"/>
      <c r="E22" s="28"/>
      <c r="F22" s="28"/>
      <c r="G22" s="28"/>
    </row>
    <row r="23" customFormat="false" ht="22.35" hidden="false" customHeight="false" outlineLevel="0" collapsed="false">
      <c r="A23" s="31" t="n">
        <v>22</v>
      </c>
      <c r="B23" s="31" t="s">
        <v>587</v>
      </c>
      <c r="C23" s="31" t="s">
        <v>588</v>
      </c>
      <c r="D23" s="31"/>
      <c r="E23" s="31"/>
      <c r="F23" s="31"/>
      <c r="G23" s="31"/>
    </row>
    <row r="24" customFormat="false" ht="15" hidden="false" customHeight="false" outlineLevel="0" collapsed="false">
      <c r="A24" s="28" t="n">
        <v>23</v>
      </c>
      <c r="B24" s="28" t="s">
        <v>589</v>
      </c>
      <c r="C24" s="28" t="s">
        <v>590</v>
      </c>
      <c r="D24" s="28"/>
      <c r="E24" s="28"/>
      <c r="F24" s="28"/>
      <c r="G24" s="28"/>
    </row>
    <row r="25" customFormat="false" ht="15" hidden="false" customHeight="false" outlineLevel="0" collapsed="false">
      <c r="A25" s="31" t="n">
        <v>24</v>
      </c>
      <c r="B25" s="31" t="s">
        <v>591</v>
      </c>
      <c r="C25" s="31" t="s">
        <v>592</v>
      </c>
      <c r="D25" s="31"/>
      <c r="E25" s="31"/>
      <c r="F25" s="31"/>
      <c r="G25" s="31"/>
    </row>
    <row r="26" customFormat="false" ht="22.35" hidden="false" customHeight="false" outlineLevel="0" collapsed="false">
      <c r="A26" s="28" t="n">
        <v>25</v>
      </c>
      <c r="B26" s="28" t="s">
        <v>593</v>
      </c>
      <c r="C26" s="28" t="s">
        <v>594</v>
      </c>
      <c r="D26" s="28"/>
      <c r="E26" s="28"/>
      <c r="F26" s="28"/>
      <c r="G26" s="28"/>
    </row>
    <row r="27" customFormat="false" ht="15" hidden="false" customHeight="false" outlineLevel="0" collapsed="false">
      <c r="A27" s="31" t="n">
        <v>26</v>
      </c>
      <c r="B27" s="31" t="s">
        <v>595</v>
      </c>
      <c r="C27" s="31" t="s">
        <v>596</v>
      </c>
      <c r="D27" s="31"/>
      <c r="E27" s="31"/>
      <c r="F27" s="31"/>
      <c r="G27" s="31"/>
    </row>
    <row r="28" customFormat="false" ht="15" hidden="false" customHeight="false" outlineLevel="0" collapsed="false">
      <c r="A28" s="28" t="n">
        <v>27</v>
      </c>
      <c r="B28" s="28" t="s">
        <v>597</v>
      </c>
      <c r="C28" s="28" t="s">
        <v>598</v>
      </c>
      <c r="D28" s="28"/>
      <c r="E28" s="28"/>
      <c r="F28" s="28"/>
      <c r="G28" s="28"/>
    </row>
    <row r="29" customFormat="false" ht="15" hidden="false" customHeight="false" outlineLevel="0" collapsed="false">
      <c r="A29" s="31" t="n">
        <v>28</v>
      </c>
      <c r="B29" s="31" t="s">
        <v>599</v>
      </c>
      <c r="C29" s="31" t="s">
        <v>600</v>
      </c>
      <c r="D29" s="31"/>
      <c r="E29" s="31"/>
      <c r="F29" s="31"/>
      <c r="G29" s="31"/>
    </row>
    <row r="30" customFormat="false" ht="15" hidden="false" customHeight="false" outlineLevel="0" collapsed="false">
      <c r="A30" s="28" t="n">
        <v>29</v>
      </c>
      <c r="B30" s="28" t="s">
        <v>601</v>
      </c>
      <c r="C30" s="28" t="s">
        <v>602</v>
      </c>
      <c r="D30" s="28"/>
      <c r="E30" s="28"/>
      <c r="F30" s="28"/>
      <c r="G30" s="28"/>
    </row>
    <row r="31" customFormat="false" ht="15" hidden="false" customHeight="false" outlineLevel="0" collapsed="false">
      <c r="A31" s="31" t="n">
        <v>30</v>
      </c>
      <c r="B31" s="31" t="s">
        <v>603</v>
      </c>
      <c r="C31" s="31" t="s">
        <v>604</v>
      </c>
      <c r="D31" s="31"/>
      <c r="E31" s="31"/>
      <c r="F31" s="31"/>
      <c r="G31" s="31"/>
    </row>
    <row r="32" customFormat="false" ht="15" hidden="false" customHeight="false" outlineLevel="0" collapsed="false">
      <c r="A32" s="28" t="n">
        <v>31</v>
      </c>
      <c r="B32" s="28" t="s">
        <v>605</v>
      </c>
      <c r="C32" s="28" t="s">
        <v>606</v>
      </c>
      <c r="D32" s="28"/>
      <c r="E32" s="28"/>
      <c r="F32" s="28"/>
      <c r="G32" s="28"/>
    </row>
    <row r="33" customFormat="false" ht="15" hidden="false" customHeight="false" outlineLevel="0" collapsed="false">
      <c r="A33" s="31" t="n">
        <v>32</v>
      </c>
      <c r="B33" s="31" t="s">
        <v>607</v>
      </c>
      <c r="C33" s="31" t="s">
        <v>608</v>
      </c>
      <c r="D33" s="31"/>
      <c r="E33" s="31"/>
      <c r="F33" s="31"/>
      <c r="G33" s="31"/>
    </row>
    <row r="34" customFormat="false" ht="15" hidden="false" customHeight="false" outlineLevel="0" collapsed="false">
      <c r="A34" s="28" t="n">
        <v>33</v>
      </c>
      <c r="B34" s="28" t="s">
        <v>609</v>
      </c>
      <c r="C34" s="28" t="s">
        <v>610</v>
      </c>
      <c r="D34" s="28"/>
      <c r="E34" s="28"/>
      <c r="F34" s="28"/>
      <c r="G34" s="28"/>
    </row>
    <row r="35" customFormat="false" ht="15" hidden="false" customHeight="false" outlineLevel="0" collapsed="false">
      <c r="A35" s="31" t="n">
        <v>34</v>
      </c>
      <c r="B35" s="31" t="s">
        <v>611</v>
      </c>
      <c r="C35" s="31" t="s">
        <v>612</v>
      </c>
      <c r="D35" s="31"/>
      <c r="E35" s="31"/>
      <c r="F35" s="31"/>
      <c r="G35" s="31"/>
    </row>
    <row r="36" customFormat="false" ht="15" hidden="false" customHeight="false" outlineLevel="0" collapsed="false">
      <c r="A36" s="28" t="n">
        <v>35</v>
      </c>
      <c r="B36" s="28" t="s">
        <v>613</v>
      </c>
      <c r="C36" s="28" t="s">
        <v>614</v>
      </c>
      <c r="D36" s="28"/>
      <c r="E36" s="28"/>
      <c r="F36" s="28"/>
      <c r="G36" s="28"/>
    </row>
    <row r="37" customFormat="false" ht="15" hidden="false" customHeight="false" outlineLevel="0" collapsed="false">
      <c r="A37" s="31" t="n">
        <v>36</v>
      </c>
      <c r="B37" s="31" t="s">
        <v>615</v>
      </c>
      <c r="C37" s="31" t="s">
        <v>616</v>
      </c>
      <c r="D37" s="31"/>
      <c r="E37" s="31"/>
      <c r="F37" s="31"/>
      <c r="G37" s="31"/>
    </row>
    <row r="38" customFormat="false" ht="22.35" hidden="false" customHeight="false" outlineLevel="0" collapsed="false">
      <c r="A38" s="28" t="n">
        <v>37</v>
      </c>
      <c r="B38" s="28" t="s">
        <v>617</v>
      </c>
      <c r="C38" s="28" t="s">
        <v>618</v>
      </c>
      <c r="D38" s="28"/>
      <c r="E38" s="28"/>
      <c r="F38" s="28"/>
      <c r="G38" s="28"/>
    </row>
    <row r="39" customFormat="false" ht="15" hidden="false" customHeight="false" outlineLevel="0" collapsed="false">
      <c r="A39" s="31" t="n">
        <v>38</v>
      </c>
      <c r="B39" s="31" t="s">
        <v>619</v>
      </c>
      <c r="C39" s="31" t="s">
        <v>620</v>
      </c>
      <c r="D39" s="31"/>
      <c r="E39" s="31"/>
      <c r="F39" s="31"/>
      <c r="G39" s="31"/>
    </row>
    <row r="40" customFormat="false" ht="15" hidden="false" customHeight="false" outlineLevel="0" collapsed="false">
      <c r="A40" s="28" t="n">
        <v>39</v>
      </c>
      <c r="B40" s="28" t="s">
        <v>621</v>
      </c>
      <c r="C40" s="28" t="s">
        <v>622</v>
      </c>
      <c r="D40" s="28"/>
      <c r="E40" s="28"/>
      <c r="F40" s="28"/>
      <c r="G40" s="28"/>
    </row>
    <row r="41" customFormat="false" ht="15" hidden="false" customHeight="false" outlineLevel="0" collapsed="false">
      <c r="A41" s="31" t="n">
        <v>40</v>
      </c>
      <c r="B41" s="31" t="s">
        <v>623</v>
      </c>
      <c r="C41" s="31" t="s">
        <v>624</v>
      </c>
      <c r="D41" s="31"/>
      <c r="E41" s="31"/>
      <c r="F41" s="31"/>
      <c r="G41" s="31"/>
    </row>
    <row r="42" customFormat="false" ht="15" hidden="false" customHeight="false" outlineLevel="0" collapsed="false">
      <c r="A42" s="28" t="n">
        <v>41</v>
      </c>
      <c r="B42" s="28" t="s">
        <v>625</v>
      </c>
      <c r="C42" s="28" t="s">
        <v>626</v>
      </c>
      <c r="D42" s="28"/>
      <c r="E42" s="28"/>
      <c r="F42" s="28"/>
      <c r="G42" s="28"/>
    </row>
    <row r="43" customFormat="false" ht="15" hidden="false" customHeight="false" outlineLevel="0" collapsed="false">
      <c r="A43" s="31" t="n">
        <v>42</v>
      </c>
      <c r="B43" s="31" t="s">
        <v>627</v>
      </c>
      <c r="C43" s="31" t="s">
        <v>628</v>
      </c>
      <c r="D43" s="31"/>
      <c r="E43" s="31"/>
      <c r="F43" s="31"/>
      <c r="G43" s="31"/>
    </row>
    <row r="44" customFormat="false" ht="15" hidden="false" customHeight="false" outlineLevel="0" collapsed="false">
      <c r="A44" s="28" t="n">
        <v>43</v>
      </c>
      <c r="B44" s="28" t="s">
        <v>629</v>
      </c>
      <c r="C44" s="28" t="s">
        <v>630</v>
      </c>
      <c r="D44" s="28"/>
      <c r="E44" s="28"/>
      <c r="F44" s="28"/>
      <c r="G44" s="28"/>
    </row>
    <row r="45" customFormat="false" ht="15" hidden="false" customHeight="false" outlineLevel="0" collapsed="false">
      <c r="A45" s="31" t="n">
        <v>44</v>
      </c>
      <c r="B45" s="31" t="s">
        <v>631</v>
      </c>
      <c r="C45" s="31" t="s">
        <v>632</v>
      </c>
      <c r="D45" s="31"/>
      <c r="E45" s="31"/>
      <c r="F45" s="31"/>
      <c r="G45" s="31"/>
    </row>
    <row r="46" customFormat="false" ht="15" hidden="false" customHeight="false" outlineLevel="0" collapsed="false">
      <c r="A46" s="28" t="n">
        <v>45</v>
      </c>
      <c r="B46" s="28" t="s">
        <v>633</v>
      </c>
      <c r="C46" s="28" t="s">
        <v>634</v>
      </c>
      <c r="D46" s="28"/>
      <c r="E46" s="28"/>
      <c r="F46" s="28"/>
      <c r="G46" s="28"/>
    </row>
    <row r="47" customFormat="false" ht="22.35" hidden="false" customHeight="false" outlineLevel="0" collapsed="false">
      <c r="A47" s="31" t="n">
        <v>46</v>
      </c>
      <c r="B47" s="31" t="s">
        <v>635</v>
      </c>
      <c r="C47" s="31" t="s">
        <v>636</v>
      </c>
      <c r="D47" s="31"/>
      <c r="E47" s="31"/>
      <c r="F47" s="31"/>
      <c r="G47" s="31"/>
    </row>
    <row r="48" customFormat="false" ht="15" hidden="false" customHeight="false" outlineLevel="0" collapsed="false">
      <c r="A48" s="28" t="n">
        <v>47</v>
      </c>
      <c r="B48" s="28" t="s">
        <v>637</v>
      </c>
      <c r="C48" s="28" t="s">
        <v>638</v>
      </c>
      <c r="D48" s="28"/>
      <c r="E48" s="28"/>
      <c r="F48" s="28"/>
      <c r="G48" s="28"/>
    </row>
    <row r="49" customFormat="false" ht="15" hidden="false" customHeight="false" outlineLevel="0" collapsed="false">
      <c r="A49" s="31" t="n">
        <v>48</v>
      </c>
      <c r="B49" s="31" t="s">
        <v>639</v>
      </c>
      <c r="C49" s="31" t="s">
        <v>640</v>
      </c>
      <c r="D49" s="31"/>
      <c r="E49" s="31"/>
      <c r="F49" s="31"/>
      <c r="G49" s="31"/>
    </row>
    <row r="50" customFormat="false" ht="15" hidden="false" customHeight="false" outlineLevel="0" collapsed="false">
      <c r="A50" s="28" t="n">
        <v>49</v>
      </c>
      <c r="B50" s="28" t="s">
        <v>641</v>
      </c>
      <c r="C50" s="28" t="s">
        <v>642</v>
      </c>
      <c r="D50" s="28"/>
      <c r="E50" s="28"/>
      <c r="F50" s="28"/>
      <c r="G50" s="28"/>
    </row>
    <row r="51" customFormat="false" ht="15" hidden="false" customHeight="false" outlineLevel="0" collapsed="false">
      <c r="A51" s="31" t="n">
        <v>50</v>
      </c>
      <c r="B51" s="31" t="s">
        <v>643</v>
      </c>
      <c r="C51" s="31" t="s">
        <v>644</v>
      </c>
      <c r="D51" s="31"/>
      <c r="E51" s="31"/>
      <c r="F51" s="31"/>
      <c r="G51" s="31"/>
    </row>
    <row r="52" customFormat="false" ht="15" hidden="false" customHeight="false" outlineLevel="0" collapsed="false">
      <c r="A52" s="28" t="n">
        <v>51</v>
      </c>
      <c r="B52" s="28" t="s">
        <v>645</v>
      </c>
      <c r="C52" s="28" t="s">
        <v>646</v>
      </c>
      <c r="D52" s="28"/>
      <c r="E52" s="28"/>
      <c r="F52" s="28"/>
      <c r="G52" s="28"/>
    </row>
    <row r="53" customFormat="false" ht="22.35" hidden="false" customHeight="false" outlineLevel="0" collapsed="false">
      <c r="A53" s="31" t="n">
        <v>52</v>
      </c>
      <c r="B53" s="31" t="s">
        <v>647</v>
      </c>
      <c r="C53" s="31" t="s">
        <v>648</v>
      </c>
      <c r="D53" s="31"/>
      <c r="E53" s="31"/>
      <c r="F53" s="31"/>
      <c r="G53" s="31"/>
    </row>
    <row r="54" customFormat="false" ht="15" hidden="false" customHeight="false" outlineLevel="0" collapsed="false">
      <c r="A54" s="28" t="n">
        <v>53</v>
      </c>
      <c r="B54" s="28" t="s">
        <v>649</v>
      </c>
      <c r="C54" s="28" t="s">
        <v>650</v>
      </c>
      <c r="D54" s="28"/>
      <c r="E54" s="28"/>
      <c r="F54" s="28"/>
      <c r="G54" s="28"/>
    </row>
    <row r="55" customFormat="false" ht="15" hidden="false" customHeight="false" outlineLevel="0" collapsed="false">
      <c r="A55" s="31" t="n">
        <v>54</v>
      </c>
      <c r="B55" s="31" t="s">
        <v>651</v>
      </c>
      <c r="C55" s="31" t="s">
        <v>652</v>
      </c>
      <c r="D55" s="31"/>
      <c r="E55" s="31"/>
      <c r="F55" s="31"/>
      <c r="G55" s="31"/>
    </row>
    <row r="56" customFormat="false" ht="15" hidden="false" customHeight="false" outlineLevel="0" collapsed="false">
      <c r="A56" s="28" t="n">
        <v>55</v>
      </c>
      <c r="B56" s="28" t="s">
        <v>653</v>
      </c>
      <c r="C56" s="28" t="s">
        <v>654</v>
      </c>
      <c r="D56" s="28"/>
      <c r="E56" s="28"/>
      <c r="F56" s="28"/>
      <c r="G56" s="28"/>
    </row>
    <row r="57" customFormat="false" ht="15" hidden="false" customHeight="false" outlineLevel="0" collapsed="false">
      <c r="A57" s="31" t="n">
        <v>56</v>
      </c>
      <c r="B57" s="31" t="s">
        <v>655</v>
      </c>
      <c r="C57" s="31" t="s">
        <v>656</v>
      </c>
      <c r="D57" s="31"/>
      <c r="E57" s="31"/>
      <c r="F57" s="31"/>
      <c r="G57" s="31"/>
    </row>
    <row r="58" customFormat="false" ht="15" hidden="false" customHeight="false" outlineLevel="0" collapsed="false">
      <c r="A58" s="28" t="n">
        <v>57</v>
      </c>
      <c r="B58" s="28" t="s">
        <v>657</v>
      </c>
      <c r="C58" s="28" t="s">
        <v>658</v>
      </c>
      <c r="D58" s="28"/>
      <c r="E58" s="28"/>
      <c r="F58" s="28"/>
      <c r="G58" s="28"/>
    </row>
    <row r="59" customFormat="false" ht="15" hidden="false" customHeight="false" outlineLevel="0" collapsed="false">
      <c r="A59" s="31" t="n">
        <v>58</v>
      </c>
      <c r="B59" s="31" t="s">
        <v>659</v>
      </c>
      <c r="C59" s="31" t="s">
        <v>660</v>
      </c>
      <c r="D59" s="31"/>
      <c r="E59" s="31"/>
      <c r="F59" s="31"/>
      <c r="G59" s="31"/>
    </row>
    <row r="60" customFormat="false" ht="22.35" hidden="false" customHeight="false" outlineLevel="0" collapsed="false">
      <c r="A60" s="28" t="n">
        <v>59</v>
      </c>
      <c r="B60" s="28" t="s">
        <v>661</v>
      </c>
      <c r="C60" s="28" t="s">
        <v>662</v>
      </c>
      <c r="D60" s="28"/>
      <c r="E60" s="28"/>
      <c r="F60" s="28"/>
      <c r="G60" s="28"/>
    </row>
    <row r="61" customFormat="false" ht="22.35" hidden="false" customHeight="false" outlineLevel="0" collapsed="false">
      <c r="A61" s="31" t="n">
        <v>60</v>
      </c>
      <c r="B61" s="31" t="s">
        <v>663</v>
      </c>
      <c r="C61" s="31" t="s">
        <v>664</v>
      </c>
      <c r="D61" s="31"/>
      <c r="E61" s="31"/>
      <c r="F61" s="31"/>
      <c r="G61" s="31"/>
    </row>
  </sheetData>
  <autoFilter ref="A1:G61"/>
  <conditionalFormatting sqref="D2:D61">
    <cfRule type="cellIs" priority="2" operator="equal" aboveAverage="0" equalAverage="0" bottom="0" percent="0" rank="0" text="" dxfId="5">
      <formula>"Yes"</formula>
    </cfRule>
    <cfRule type="cellIs" priority="3" operator="equal" aboveAverage="0" equalAverage="0" bottom="0" percent="0" rank="0" text="" dxfId="6">
      <formula>"Partly"</formula>
    </cfRule>
    <cfRule type="cellIs" priority="4" operator="equal" aboveAverage="0" equalAverage="0" bottom="0" percent="0" rank="0" text="" dxfId="7">
      <formula>"No"</formula>
    </cfRule>
    <cfRule type="cellIs" priority="5" operator="equal" aboveAverage="0" equalAverage="0" bottom="0" percent="0" rank="0" text="" dxfId="7">
      <formula>"Don't know"</formula>
    </cfRule>
  </conditionalFormatting>
  <dataValidations count="1">
    <dataValidation allowBlank="true" error="Choose a value from the list" errorStyle="stop" errorTitle="Not on the list" operator="between" showDropDown="false" showErrorMessage="false" showInputMessage="false" sqref="D2:D61" type="list">
      <formula1>"Yes,Partly,No,Don't know"</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6" min="3" style="0" width="16"/>
  </cols>
  <sheetData>
    <row r="2" customFormat="false" ht="18.55" hidden="false" customHeight="false" outlineLevel="0" collapsed="false">
      <c r="B2" s="21" t="s">
        <v>665</v>
      </c>
    </row>
    <row r="3" customFormat="false" ht="15" hidden="false" customHeight="false" outlineLevel="0" collapsed="false">
      <c r="B3" s="22" t="s">
        <v>666</v>
      </c>
    </row>
    <row r="5" customFormat="false" ht="15" hidden="false" customHeight="false" outlineLevel="0" collapsed="false">
      <c r="B5" s="6" t="s">
        <v>667</v>
      </c>
    </row>
    <row r="6" customFormat="false" ht="15" hidden="false" customHeight="false" outlineLevel="0" collapsed="false">
      <c r="B6" s="36" t="s">
        <v>668</v>
      </c>
      <c r="C6" s="37" t="n">
        <f aca="false">COUNTA(Requirements!$B$2:$B$147)</f>
        <v>146</v>
      </c>
    </row>
    <row r="7" customFormat="false" ht="15" hidden="false" customHeight="false" outlineLevel="0" collapsed="false">
      <c r="B7" s="36" t="s">
        <v>669</v>
      </c>
      <c r="C7" s="37" t="n">
        <f aca="false">COUNTIF(Requirements!$H$2:$H$147,"Met")</f>
        <v>0</v>
      </c>
    </row>
    <row r="8" customFormat="false" ht="15" hidden="false" customHeight="false" outlineLevel="0" collapsed="false">
      <c r="B8" s="36" t="s">
        <v>670</v>
      </c>
      <c r="C8" s="37" t="n">
        <f aca="false">COUNTIF(Requirements!$H$2:$H$147,"Partly met")</f>
        <v>0</v>
      </c>
    </row>
    <row r="9" customFormat="false" ht="15" hidden="false" customHeight="false" outlineLevel="0" collapsed="false">
      <c r="B9" s="36" t="s">
        <v>671</v>
      </c>
      <c r="C9" s="37" t="n">
        <f aca="false">COUNTIF(Requirements!$H$2:$H$147,"Not met")</f>
        <v>0</v>
      </c>
    </row>
    <row r="10" customFormat="false" ht="15" hidden="false" customHeight="false" outlineLevel="0" collapsed="false">
      <c r="B10" s="36" t="s">
        <v>672</v>
      </c>
      <c r="C10" s="37" t="n">
        <f aca="false">COUNTIF(Requirements!$H$2:$H$147,"Not applicable")</f>
        <v>0</v>
      </c>
    </row>
    <row r="11" customFormat="false" ht="15" hidden="false" customHeight="false" outlineLevel="0" collapsed="false">
      <c r="B11" s="36" t="s">
        <v>75</v>
      </c>
      <c r="C11" s="37" t="n">
        <f aca="false">COUNTIF(Requirements!$H$2:$H$147,"Not assessed")</f>
        <v>146</v>
      </c>
    </row>
    <row r="12" customFormat="false" ht="15" hidden="false" customHeight="false" outlineLevel="0" collapsed="false">
      <c r="B12" s="36" t="s">
        <v>673</v>
      </c>
      <c r="C12" s="38" t="n">
        <f aca="false">IFERROR(ROUND(COUNTIF(Requirements!$H$2:$H$147,"Met")/(COUNTA(Requirements!$B$2:$B$147)-COUNTIF(Requirements!$H$2:$H$147,"Not applicable")),2),0)</f>
        <v>0</v>
      </c>
    </row>
    <row r="14" customFormat="false" ht="15" hidden="false" customHeight="false" outlineLevel="0" collapsed="false">
      <c r="B14" s="6" t="s">
        <v>674</v>
      </c>
    </row>
    <row r="15" customFormat="false" ht="27.75" hidden="false" customHeight="true" outlineLevel="0" collapsed="false">
      <c r="B15" s="39" t="s">
        <v>63</v>
      </c>
      <c r="C15" s="39" t="s">
        <v>675</v>
      </c>
      <c r="D15" s="39" t="s">
        <v>669</v>
      </c>
      <c r="E15" s="39" t="s">
        <v>671</v>
      </c>
      <c r="F15" s="39" t="s">
        <v>75</v>
      </c>
    </row>
    <row r="16" customFormat="false" ht="15" hidden="false" customHeight="false" outlineLevel="0" collapsed="false">
      <c r="B16" s="36" t="s">
        <v>83</v>
      </c>
      <c r="C16" s="37" t="n">
        <f aca="false">COUNTIF(Requirements!$E$2:$E$147,"Must")</f>
        <v>44</v>
      </c>
      <c r="D16" s="37" t="n">
        <f aca="false">COUNTIFS(Requirements!$E$2:$E$147,"Must",Requirements!$H$2:$H$147,"Met")</f>
        <v>0</v>
      </c>
      <c r="E16" s="37" t="n">
        <f aca="false">COUNTIFS(Requirements!$E$2:$E$147,"Must",Requirements!$H$2:$H$147,"Not met")</f>
        <v>0</v>
      </c>
      <c r="F16" s="37" t="n">
        <f aca="false">COUNTIFS(Requirements!$E$2:$E$147,"Must",Requirements!$H$2:$H$147,"Not assessed")</f>
        <v>44</v>
      </c>
    </row>
    <row r="17" customFormat="false" ht="15" hidden="false" customHeight="false" outlineLevel="0" collapsed="false">
      <c r="B17" s="36" t="s">
        <v>102</v>
      </c>
      <c r="C17" s="37" t="n">
        <f aca="false">COUNTIF(Requirements!$E$2:$E$147,"Should")</f>
        <v>85</v>
      </c>
      <c r="D17" s="37" t="n">
        <f aca="false">COUNTIFS(Requirements!$E$2:$E$147,"Should",Requirements!$H$2:$H$147,"Met")</f>
        <v>0</v>
      </c>
      <c r="E17" s="37" t="n">
        <f aca="false">COUNTIFS(Requirements!$E$2:$E$147,"Should",Requirements!$H$2:$H$147,"Not met")</f>
        <v>0</v>
      </c>
      <c r="F17" s="37" t="n">
        <f aca="false">COUNTIFS(Requirements!$E$2:$E$147,"Should",Requirements!$H$2:$H$147,"Not assessed")</f>
        <v>85</v>
      </c>
    </row>
    <row r="18" customFormat="false" ht="15" hidden="false" customHeight="false" outlineLevel="0" collapsed="false">
      <c r="B18" s="36" t="s">
        <v>72</v>
      </c>
      <c r="C18" s="37" t="n">
        <f aca="false">COUNTIF(Requirements!$E$2:$E$147,"Expected")</f>
        <v>17</v>
      </c>
      <c r="D18" s="37" t="n">
        <f aca="false">COUNTIFS(Requirements!$E$2:$E$147,"Expected",Requirements!$H$2:$H$147,"Met")</f>
        <v>0</v>
      </c>
      <c r="E18" s="37" t="n">
        <f aca="false">COUNTIFS(Requirements!$E$2:$E$147,"Expected",Requirements!$H$2:$H$147,"Not met")</f>
        <v>0</v>
      </c>
      <c r="F18" s="37" t="n">
        <f aca="false">COUNTIFS(Requirements!$E$2:$E$147,"Expected",Requirements!$H$2:$H$147,"Not assessed")</f>
        <v>17</v>
      </c>
    </row>
    <row r="19" customFormat="false" ht="13.5" hidden="false" customHeight="true" outlineLevel="0" collapsed="false">
      <c r="B19" s="40" t="s">
        <v>676</v>
      </c>
      <c r="C19" s="40"/>
      <c r="D19" s="40"/>
      <c r="E19" s="40"/>
      <c r="F19" s="40"/>
    </row>
    <row r="21" customFormat="false" ht="15" hidden="false" customHeight="false" outlineLevel="0" collapsed="false">
      <c r="B21" s="6" t="s">
        <v>677</v>
      </c>
    </row>
    <row r="22" customFormat="false" ht="27.75" hidden="false" customHeight="true" outlineLevel="0" collapsed="false">
      <c r="B22" s="39" t="s">
        <v>61</v>
      </c>
      <c r="C22" s="39" t="s">
        <v>675</v>
      </c>
      <c r="D22" s="39" t="s">
        <v>669</v>
      </c>
      <c r="E22" s="39" t="s">
        <v>670</v>
      </c>
      <c r="F22" s="39" t="s">
        <v>671</v>
      </c>
    </row>
    <row r="23" customFormat="false" ht="15" hidden="false" customHeight="false" outlineLevel="0" collapsed="false">
      <c r="B23" s="36" t="s">
        <v>70</v>
      </c>
      <c r="C23" s="37" t="n">
        <f aca="false">COUNTIF(Requirements!$C$2:$C$147,"Cyber risk framework")</f>
        <v>6</v>
      </c>
      <c r="D23" s="37" t="n">
        <f aca="false">COUNTIFS(Requirements!$C$2:$C$147,"Cyber risk framework",Requirements!$H$2:$H$147,"Met")</f>
        <v>0</v>
      </c>
      <c r="E23" s="37" t="n">
        <f aca="false">COUNTIFS(Requirements!$C$2:$C$147,"Cyber risk framework",Requirements!$H$2:$H$147,"Partly met")</f>
        <v>0</v>
      </c>
      <c r="F23" s="37" t="n">
        <f aca="false">COUNTIFS(Requirements!$C$2:$C$147,"Cyber risk framework",Requirements!$H$2:$H$147,"Not met")</f>
        <v>0</v>
      </c>
    </row>
    <row r="24" customFormat="false" ht="15" hidden="false" customHeight="false" outlineLevel="0" collapsed="false">
      <c r="B24" s="36" t="s">
        <v>77</v>
      </c>
      <c r="C24" s="37" t="n">
        <f aca="false">COUNTIF(Requirements!$C$2:$C$147,"Board oversight")</f>
        <v>8</v>
      </c>
      <c r="D24" s="37" t="n">
        <f aca="false">COUNTIFS(Requirements!$C$2:$C$147,"Board oversight",Requirements!$H$2:$H$147,"Met")</f>
        <v>0</v>
      </c>
      <c r="E24" s="37" t="n">
        <f aca="false">COUNTIFS(Requirements!$C$2:$C$147,"Board oversight",Requirements!$H$2:$H$147,"Partly met")</f>
        <v>0</v>
      </c>
      <c r="F24" s="37" t="n">
        <f aca="false">COUNTIFS(Requirements!$C$2:$C$147,"Board oversight",Requirements!$H$2:$H$147,"Not met")</f>
        <v>0</v>
      </c>
    </row>
    <row r="25" customFormat="false" ht="15" hidden="false" customHeight="false" outlineLevel="0" collapsed="false">
      <c r="B25" s="36" t="s">
        <v>89</v>
      </c>
      <c r="C25" s="37" t="n">
        <f aca="false">COUNTIF(Requirements!$C$2:$C$147,"Board competence")</f>
        <v>2</v>
      </c>
      <c r="D25" s="37" t="n">
        <f aca="false">COUNTIFS(Requirements!$C$2:$C$147,"Board competence",Requirements!$H$2:$H$147,"Met")</f>
        <v>0</v>
      </c>
      <c r="E25" s="37" t="n">
        <f aca="false">COUNTIFS(Requirements!$C$2:$C$147,"Board competence",Requirements!$H$2:$H$147,"Partly met")</f>
        <v>0</v>
      </c>
      <c r="F25" s="37" t="n">
        <f aca="false">COUNTIFS(Requirements!$C$2:$C$147,"Board competence",Requirements!$H$2:$H$147,"Not met")</f>
        <v>0</v>
      </c>
    </row>
    <row r="26" customFormat="false" ht="15" hidden="false" customHeight="false" outlineLevel="0" collapsed="false">
      <c r="B26" s="36" t="s">
        <v>100</v>
      </c>
      <c r="C26" s="37" t="n">
        <f aca="false">COUNTIF(Requirements!$C$2:$C$147,"Risk tolerance")</f>
        <v>1</v>
      </c>
      <c r="D26" s="37" t="n">
        <f aca="false">COUNTIFS(Requirements!$C$2:$C$147,"Risk tolerance",Requirements!$H$2:$H$147,"Met")</f>
        <v>0</v>
      </c>
      <c r="E26" s="37" t="n">
        <f aca="false">COUNTIFS(Requirements!$C$2:$C$147,"Risk tolerance",Requirements!$H$2:$H$147,"Partly met")</f>
        <v>0</v>
      </c>
      <c r="F26" s="37" t="n">
        <f aca="false">COUNTIFS(Requirements!$C$2:$C$147,"Risk tolerance",Requirements!$H$2:$H$147,"Not met")</f>
        <v>0</v>
      </c>
    </row>
    <row r="27" customFormat="false" ht="15" hidden="false" customHeight="false" outlineLevel="0" collapsed="false">
      <c r="B27" s="36" t="s">
        <v>129</v>
      </c>
      <c r="C27" s="37" t="n">
        <f aca="false">COUNTIF(Requirements!$C$2:$C$147,"Structure and expertise")</f>
        <v>1</v>
      </c>
      <c r="D27" s="37" t="n">
        <f aca="false">COUNTIFS(Requirements!$C$2:$C$147,"Structure and expertise",Requirements!$H$2:$H$147,"Met")</f>
        <v>0</v>
      </c>
      <c r="E27" s="37" t="n">
        <f aca="false">COUNTIFS(Requirements!$C$2:$C$147,"Structure and expertise",Requirements!$H$2:$H$147,"Partly met")</f>
        <v>0</v>
      </c>
      <c r="F27" s="37" t="n">
        <f aca="false">COUNTIFS(Requirements!$C$2:$C$147,"Structure and expertise",Requirements!$H$2:$H$147,"Not met")</f>
        <v>0</v>
      </c>
    </row>
    <row r="28" customFormat="false" ht="15" hidden="false" customHeight="false" outlineLevel="0" collapsed="false">
      <c r="B28" s="36" t="s">
        <v>134</v>
      </c>
      <c r="C28" s="37" t="n">
        <f aca="false">COUNTIF(Requirements!$C$2:$C$147,"Personnel security")</f>
        <v>1</v>
      </c>
      <c r="D28" s="37" t="n">
        <f aca="false">COUNTIFS(Requirements!$C$2:$C$147,"Personnel security",Requirements!$H$2:$H$147,"Met")</f>
        <v>0</v>
      </c>
      <c r="E28" s="37" t="n">
        <f aca="false">COUNTIFS(Requirements!$C$2:$C$147,"Personnel security",Requirements!$H$2:$H$147,"Partly met")</f>
        <v>0</v>
      </c>
      <c r="F28" s="37" t="n">
        <f aca="false">COUNTIFS(Requirements!$C$2:$C$147,"Personnel security",Requirements!$H$2:$H$147,"Not met")</f>
        <v>0</v>
      </c>
    </row>
    <row r="29" customFormat="false" ht="15" hidden="false" customHeight="false" outlineLevel="0" collapsed="false">
      <c r="B29" s="36" t="s">
        <v>138</v>
      </c>
      <c r="C29" s="37" t="n">
        <f aca="false">COUNTIF(Requirements!$C$2:$C$147,"Training and culture")</f>
        <v>2</v>
      </c>
      <c r="D29" s="37" t="n">
        <f aca="false">COUNTIFS(Requirements!$C$2:$C$147,"Training and culture",Requirements!$H$2:$H$147,"Met")</f>
        <v>0</v>
      </c>
      <c r="E29" s="37" t="n">
        <f aca="false">COUNTIFS(Requirements!$C$2:$C$147,"Training and culture",Requirements!$H$2:$H$147,"Partly met")</f>
        <v>0</v>
      </c>
      <c r="F29" s="37" t="n">
        <f aca="false">COUNTIFS(Requirements!$C$2:$C$147,"Training and culture",Requirements!$H$2:$H$147,"Not met")</f>
        <v>0</v>
      </c>
    </row>
    <row r="30" customFormat="false" ht="15" hidden="false" customHeight="false" outlineLevel="0" collapsed="false">
      <c r="B30" s="36" t="s">
        <v>142</v>
      </c>
      <c r="C30" s="37" t="n">
        <f aca="false">COUNTIF(Requirements!$C$2:$C$147,"Senior management duties")</f>
        <v>10</v>
      </c>
      <c r="D30" s="37" t="n">
        <f aca="false">COUNTIFS(Requirements!$C$2:$C$147,"Senior management duties",Requirements!$H$2:$H$147,"Met")</f>
        <v>0</v>
      </c>
      <c r="E30" s="37" t="n">
        <f aca="false">COUNTIFS(Requirements!$C$2:$C$147,"Senior management duties",Requirements!$H$2:$H$147,"Partly met")</f>
        <v>0</v>
      </c>
      <c r="F30" s="37" t="n">
        <f aca="false">COUNTIFS(Requirements!$C$2:$C$147,"Senior management duties",Requirements!$H$2:$H$147,"Not met")</f>
        <v>0</v>
      </c>
    </row>
    <row r="31" customFormat="false" ht="15" hidden="false" customHeight="false" outlineLevel="0" collapsed="false">
      <c r="B31" s="36" t="s">
        <v>173</v>
      </c>
      <c r="C31" s="37" t="n">
        <f aca="false">COUNTIF(Requirements!$C$2:$C$147,"CIO role")</f>
        <v>3</v>
      </c>
      <c r="D31" s="37" t="n">
        <f aca="false">COUNTIFS(Requirements!$C$2:$C$147,"CIO role",Requirements!$H$2:$H$147,"Met")</f>
        <v>0</v>
      </c>
      <c r="E31" s="37" t="n">
        <f aca="false">COUNTIFS(Requirements!$C$2:$C$147,"CIO role",Requirements!$H$2:$H$147,"Partly met")</f>
        <v>0</v>
      </c>
      <c r="F31" s="37" t="n">
        <f aca="false">COUNTIFS(Requirements!$C$2:$C$147,"CIO role",Requirements!$H$2:$H$147,"Not met")</f>
        <v>0</v>
      </c>
    </row>
    <row r="32" customFormat="false" ht="15" hidden="false" customHeight="false" outlineLevel="0" collapsed="false">
      <c r="B32" s="36" t="s">
        <v>184</v>
      </c>
      <c r="C32" s="37" t="n">
        <f aca="false">COUNTIF(Requirements!$C$2:$C$147,"CISO role")</f>
        <v>7</v>
      </c>
      <c r="D32" s="37" t="n">
        <f aca="false">COUNTIFS(Requirements!$C$2:$C$147,"CISO role",Requirements!$H$2:$H$147,"Met")</f>
        <v>0</v>
      </c>
      <c r="E32" s="37" t="n">
        <f aca="false">COUNTIFS(Requirements!$C$2:$C$147,"CISO role",Requirements!$H$2:$H$147,"Partly met")</f>
        <v>0</v>
      </c>
      <c r="F32" s="37" t="n">
        <f aca="false">COUNTIFS(Requirements!$C$2:$C$147,"CISO role",Requirements!$H$2:$H$147,"Not met")</f>
        <v>0</v>
      </c>
    </row>
    <row r="33" customFormat="false" ht="15" hidden="false" customHeight="false" outlineLevel="0" collapsed="false">
      <c r="B33" s="36" t="s">
        <v>207</v>
      </c>
      <c r="C33" s="37" t="n">
        <f aca="false">COUNTIF(Requirements!$C$2:$C$147,"Incident response")</f>
        <v>2</v>
      </c>
      <c r="D33" s="37" t="n">
        <f aca="false">COUNTIFS(Requirements!$C$2:$C$147,"Incident response",Requirements!$H$2:$H$147,"Met")</f>
        <v>0</v>
      </c>
      <c r="E33" s="37" t="n">
        <f aca="false">COUNTIFS(Requirements!$C$2:$C$147,"Incident response",Requirements!$H$2:$H$147,"Partly met")</f>
        <v>0</v>
      </c>
      <c r="F33" s="37" t="n">
        <f aca="false">COUNTIFS(Requirements!$C$2:$C$147,"Incident response",Requirements!$H$2:$H$147,"Not met")</f>
        <v>0</v>
      </c>
    </row>
    <row r="34" customFormat="false" ht="15" hidden="false" customHeight="false" outlineLevel="0" collapsed="false">
      <c r="B34" s="36" t="s">
        <v>214</v>
      </c>
      <c r="C34" s="37" t="n">
        <f aca="false">COUNTIF(Requirements!$C$2:$C$147,"Project management office")</f>
        <v>5</v>
      </c>
      <c r="D34" s="37" t="n">
        <f aca="false">COUNTIFS(Requirements!$C$2:$C$147,"Project management office",Requirements!$H$2:$H$147,"Met")</f>
        <v>0</v>
      </c>
      <c r="E34" s="37" t="n">
        <f aca="false">COUNTIFS(Requirements!$C$2:$C$147,"Project management office",Requirements!$H$2:$H$147,"Partly met")</f>
        <v>0</v>
      </c>
      <c r="F34" s="37" t="n">
        <f aca="false">COUNTIFS(Requirements!$C$2:$C$147,"Project management office",Requirements!$H$2:$H$147,"Not met")</f>
        <v>0</v>
      </c>
    </row>
    <row r="35" customFormat="false" ht="15" hidden="false" customHeight="false" outlineLevel="0" collapsed="false">
      <c r="B35" s="36" t="s">
        <v>231</v>
      </c>
      <c r="C35" s="37" t="n">
        <f aca="false">COUNTIF(Requirements!$C$2:$C$147,"Security program scope")</f>
        <v>8</v>
      </c>
      <c r="D35" s="37" t="n">
        <f aca="false">COUNTIFS(Requirements!$C$2:$C$147,"Security program scope",Requirements!$H$2:$H$147,"Met")</f>
        <v>0</v>
      </c>
      <c r="E35" s="37" t="n">
        <f aca="false">COUNTIFS(Requirements!$C$2:$C$147,"Security program scope",Requirements!$H$2:$H$147,"Partly met")</f>
        <v>0</v>
      </c>
      <c r="F35" s="37" t="n">
        <f aca="false">COUNTIFS(Requirements!$C$2:$C$147,"Security program scope",Requirements!$H$2:$H$147,"Not met")</f>
        <v>0</v>
      </c>
    </row>
    <row r="36" customFormat="false" ht="15" hidden="false" customHeight="false" outlineLevel="0" collapsed="false">
      <c r="B36" s="36" t="s">
        <v>256</v>
      </c>
      <c r="C36" s="37" t="n">
        <f aca="false">COUNTIF(Requirements!$C$2:$C$147,"Third parties")</f>
        <v>4</v>
      </c>
      <c r="D36" s="37" t="n">
        <f aca="false">COUNTIFS(Requirements!$C$2:$C$147,"Third parties",Requirements!$H$2:$H$147,"Met")</f>
        <v>0</v>
      </c>
      <c r="E36" s="37" t="n">
        <f aca="false">COUNTIFS(Requirements!$C$2:$C$147,"Third parties",Requirements!$H$2:$H$147,"Partly met")</f>
        <v>0</v>
      </c>
      <c r="F36" s="37" t="n">
        <f aca="false">COUNTIFS(Requirements!$C$2:$C$147,"Third parties",Requirements!$H$2:$H$147,"Not met")</f>
        <v>0</v>
      </c>
    </row>
    <row r="37" customFormat="false" ht="15" hidden="false" customHeight="false" outlineLevel="0" collapsed="false">
      <c r="B37" s="36" t="s">
        <v>269</v>
      </c>
      <c r="C37" s="37" t="n">
        <f aca="false">COUNTIF(Requirements!$C$2:$C$147,"Risk identification")</f>
        <v>1</v>
      </c>
      <c r="D37" s="37" t="n">
        <f aca="false">COUNTIFS(Requirements!$C$2:$C$147,"Risk identification",Requirements!$H$2:$H$147,"Met")</f>
        <v>0</v>
      </c>
      <c r="E37" s="37" t="n">
        <f aca="false">COUNTIFS(Requirements!$C$2:$C$147,"Risk identification",Requirements!$H$2:$H$147,"Partly met")</f>
        <v>0</v>
      </c>
      <c r="F37" s="37" t="n">
        <f aca="false">COUNTIFS(Requirements!$C$2:$C$147,"Risk identification",Requirements!$H$2:$H$147,"Not met")</f>
        <v>0</v>
      </c>
    </row>
    <row r="38" customFormat="false" ht="15" hidden="false" customHeight="false" outlineLevel="0" collapsed="false">
      <c r="B38" s="36" t="s">
        <v>273</v>
      </c>
      <c r="C38" s="37" t="n">
        <f aca="false">COUNTIF(Requirements!$C$2:$C$147,"Testing")</f>
        <v>6</v>
      </c>
      <c r="D38" s="37" t="n">
        <f aca="false">COUNTIFS(Requirements!$C$2:$C$147,"Testing",Requirements!$H$2:$H$147,"Met")</f>
        <v>0</v>
      </c>
      <c r="E38" s="37" t="n">
        <f aca="false">COUNTIFS(Requirements!$C$2:$C$147,"Testing",Requirements!$H$2:$H$147,"Partly met")</f>
        <v>0</v>
      </c>
      <c r="F38" s="37" t="n">
        <f aca="false">COUNTIFS(Requirements!$C$2:$C$147,"Testing",Requirements!$H$2:$H$147,"Not met")</f>
        <v>0</v>
      </c>
    </row>
    <row r="39" customFormat="false" ht="15" hidden="false" customHeight="false" outlineLevel="0" collapsed="false">
      <c r="B39" s="36" t="s">
        <v>289</v>
      </c>
      <c r="C39" s="37" t="n">
        <f aca="false">COUNTIF(Requirements!$C$2:$C$147,"Risk mitigation")</f>
        <v>5</v>
      </c>
      <c r="D39" s="37" t="n">
        <f aca="false">COUNTIFS(Requirements!$C$2:$C$147,"Risk mitigation",Requirements!$H$2:$H$147,"Met")</f>
        <v>0</v>
      </c>
      <c r="E39" s="37" t="n">
        <f aca="false">COUNTIFS(Requirements!$C$2:$C$147,"Risk mitigation",Requirements!$H$2:$H$147,"Partly met")</f>
        <v>0</v>
      </c>
      <c r="F39" s="37" t="n">
        <f aca="false">COUNTIFS(Requirements!$C$2:$C$147,"Risk mitigation",Requirements!$H$2:$H$147,"Not met")</f>
        <v>0</v>
      </c>
    </row>
    <row r="40" customFormat="false" ht="15" hidden="false" customHeight="false" outlineLevel="0" collapsed="false">
      <c r="B40" s="36" t="s">
        <v>305</v>
      </c>
      <c r="C40" s="37" t="n">
        <f aca="false">COUNTIF(Requirements!$C$2:$C$147,"Monitoring and reporting")</f>
        <v>4</v>
      </c>
      <c r="D40" s="37" t="n">
        <f aca="false">COUNTIFS(Requirements!$C$2:$C$147,"Monitoring and reporting",Requirements!$H$2:$H$147,"Met")</f>
        <v>0</v>
      </c>
      <c r="E40" s="37" t="n">
        <f aca="false">COUNTIFS(Requirements!$C$2:$C$147,"Monitoring and reporting",Requirements!$H$2:$H$147,"Partly met")</f>
        <v>0</v>
      </c>
      <c r="F40" s="37" t="n">
        <f aca="false">COUNTIFS(Requirements!$C$2:$C$147,"Monitoring and reporting",Requirements!$H$2:$H$147,"Not met")</f>
        <v>0</v>
      </c>
    </row>
    <row r="41" customFormat="false" ht="15" hidden="false" customHeight="false" outlineLevel="0" collapsed="false">
      <c r="B41" s="36" t="s">
        <v>319</v>
      </c>
      <c r="C41" s="37" t="n">
        <f aca="false">COUNTIF(Requirements!$C$2:$C$147,"Detection")</f>
        <v>1</v>
      </c>
      <c r="D41" s="37" t="n">
        <f aca="false">COUNTIFS(Requirements!$C$2:$C$147,"Detection",Requirements!$H$2:$H$147,"Met")</f>
        <v>0</v>
      </c>
      <c r="E41" s="37" t="n">
        <f aca="false">COUNTIFS(Requirements!$C$2:$C$147,"Detection",Requirements!$H$2:$H$147,"Partly met")</f>
        <v>0</v>
      </c>
      <c r="F41" s="37" t="n">
        <f aca="false">COUNTIFS(Requirements!$C$2:$C$147,"Detection",Requirements!$H$2:$H$147,"Not met")</f>
        <v>0</v>
      </c>
    </row>
    <row r="42" customFormat="false" ht="15" hidden="false" customHeight="false" outlineLevel="0" collapsed="false">
      <c r="B42" s="36" t="s">
        <v>323</v>
      </c>
      <c r="C42" s="37" t="n">
        <f aca="false">COUNTIF(Requirements!$C$2:$C$147,"Incident reporting")</f>
        <v>2</v>
      </c>
      <c r="D42" s="37" t="n">
        <f aca="false">COUNTIFS(Requirements!$C$2:$C$147,"Incident reporting",Requirements!$H$2:$H$147,"Met")</f>
        <v>0</v>
      </c>
      <c r="E42" s="37" t="n">
        <f aca="false">COUNTIFS(Requirements!$C$2:$C$147,"Incident reporting",Requirements!$H$2:$H$147,"Partly met")</f>
        <v>0</v>
      </c>
      <c r="F42" s="37" t="n">
        <f aca="false">COUNTIFS(Requirements!$C$2:$C$147,"Incident reporting",Requirements!$H$2:$H$147,"Not met")</f>
        <v>0</v>
      </c>
    </row>
    <row r="43" customFormat="false" ht="15" hidden="false" customHeight="false" outlineLevel="0" collapsed="false">
      <c r="B43" s="36" t="s">
        <v>327</v>
      </c>
      <c r="C43" s="37" t="n">
        <f aca="false">COUNTIF(Requirements!$C$2:$C$147,"Risk management function")</f>
        <v>9</v>
      </c>
      <c r="D43" s="37" t="n">
        <f aca="false">COUNTIFS(Requirements!$C$2:$C$147,"Risk management function",Requirements!$H$2:$H$147,"Met")</f>
        <v>0</v>
      </c>
      <c r="E43" s="37" t="n">
        <f aca="false">COUNTIFS(Requirements!$C$2:$C$147,"Risk management function",Requirements!$H$2:$H$147,"Partly met")</f>
        <v>0</v>
      </c>
      <c r="F43" s="37" t="n">
        <f aca="false">COUNTIFS(Requirements!$C$2:$C$147,"Risk management function",Requirements!$H$2:$H$147,"Not met")</f>
        <v>0</v>
      </c>
    </row>
    <row r="44" customFormat="false" ht="15" hidden="false" customHeight="false" outlineLevel="0" collapsed="false">
      <c r="B44" s="36" t="s">
        <v>355</v>
      </c>
      <c r="C44" s="37" t="n">
        <f aca="false">COUNTIF(Requirements!$C$2:$C$147,"Internal audit")</f>
        <v>3</v>
      </c>
      <c r="D44" s="37" t="n">
        <f aca="false">COUNTIFS(Requirements!$C$2:$C$147,"Internal audit",Requirements!$H$2:$H$147,"Met")</f>
        <v>0</v>
      </c>
      <c r="E44" s="37" t="n">
        <f aca="false">COUNTIFS(Requirements!$C$2:$C$147,"Internal audit",Requirements!$H$2:$H$147,"Partly met")</f>
        <v>0</v>
      </c>
      <c r="F44" s="37" t="n">
        <f aca="false">COUNTIFS(Requirements!$C$2:$C$147,"Internal audit",Requirements!$H$2:$H$147,"Not met")</f>
        <v>0</v>
      </c>
    </row>
    <row r="45" customFormat="false" ht="15" hidden="false" customHeight="false" outlineLevel="0" collapsed="false">
      <c r="B45" s="36" t="s">
        <v>365</v>
      </c>
      <c r="C45" s="37" t="n">
        <f aca="false">COUNTIF(Requirements!$C$2:$C$147,"Information sharing")</f>
        <v>2</v>
      </c>
      <c r="D45" s="37" t="n">
        <f aca="false">COUNTIFS(Requirements!$C$2:$C$147,"Information sharing",Requirements!$H$2:$H$147,"Met")</f>
        <v>0</v>
      </c>
      <c r="E45" s="37" t="n">
        <f aca="false">COUNTIFS(Requirements!$C$2:$C$147,"Information sharing",Requirements!$H$2:$H$147,"Partly met")</f>
        <v>0</v>
      </c>
      <c r="F45" s="37" t="n">
        <f aca="false">COUNTIFS(Requirements!$C$2:$C$147,"Information sharing",Requirements!$H$2:$H$147,"Not met")</f>
        <v>0</v>
      </c>
    </row>
    <row r="46" customFormat="false" ht="15" hidden="false" customHeight="false" outlineLevel="0" collapsed="false">
      <c r="B46" s="36" t="s">
        <v>372</v>
      </c>
      <c r="C46" s="37" t="n">
        <f aca="false">COUNTIF(Requirements!$C$2:$C$147,"Situational awareness")</f>
        <v>1</v>
      </c>
      <c r="D46" s="37" t="n">
        <f aca="false">COUNTIFS(Requirements!$C$2:$C$147,"Situational awareness",Requirements!$H$2:$H$147,"Met")</f>
        <v>0</v>
      </c>
      <c r="E46" s="37" t="n">
        <f aca="false">COUNTIFS(Requirements!$C$2:$C$147,"Situational awareness",Requirements!$H$2:$H$147,"Partly met")</f>
        <v>0</v>
      </c>
      <c r="F46" s="37" t="n">
        <f aca="false">COUNTIFS(Requirements!$C$2:$C$147,"Situational awareness",Requirements!$H$2:$H$147,"Not met")</f>
        <v>0</v>
      </c>
    </row>
    <row r="47" customFormat="false" ht="15" hidden="false" customHeight="false" outlineLevel="0" collapsed="false">
      <c r="B47" s="36" t="s">
        <v>376</v>
      </c>
      <c r="C47" s="37" t="n">
        <f aca="false">COUNTIF(Requirements!$C$2:$C$147,"Threat intelligence")</f>
        <v>1</v>
      </c>
      <c r="D47" s="37" t="n">
        <f aca="false">COUNTIFS(Requirements!$C$2:$C$147,"Threat intelligence",Requirements!$H$2:$H$147,"Met")</f>
        <v>0</v>
      </c>
      <c r="E47" s="37" t="n">
        <f aca="false">COUNTIFS(Requirements!$C$2:$C$147,"Threat intelligence",Requirements!$H$2:$H$147,"Partly met")</f>
        <v>0</v>
      </c>
      <c r="F47" s="37" t="n">
        <f aca="false">COUNTIFS(Requirements!$C$2:$C$147,"Threat intelligence",Requirements!$H$2:$H$147,"Not met")</f>
        <v>0</v>
      </c>
    </row>
    <row r="48" customFormat="false" ht="15" hidden="false" customHeight="false" outlineLevel="0" collapsed="false">
      <c r="B48" s="36" t="s">
        <v>383</v>
      </c>
      <c r="C48" s="37" t="n">
        <f aca="false">COUNTIF(Requirements!$C$2:$C$147,"External assurance")</f>
        <v>4</v>
      </c>
      <c r="D48" s="37" t="n">
        <f aca="false">COUNTIFS(Requirements!$C$2:$C$147,"External assurance",Requirements!$H$2:$H$147,"Met")</f>
        <v>0</v>
      </c>
      <c r="E48" s="37" t="n">
        <f aca="false">COUNTIFS(Requirements!$C$2:$C$147,"External assurance",Requirements!$H$2:$H$147,"Partly met")</f>
        <v>0</v>
      </c>
      <c r="F48" s="37" t="n">
        <f aca="false">COUNTIFS(Requirements!$C$2:$C$147,"External assurance",Requirements!$H$2:$H$147,"Not met")</f>
        <v>0</v>
      </c>
    </row>
    <row r="49" customFormat="false" ht="15" hidden="false" customHeight="false" outlineLevel="0" collapsed="false">
      <c r="B49" s="36" t="s">
        <v>399</v>
      </c>
      <c r="C49" s="37" t="n">
        <f aca="false">COUNTIF(Requirements!$C$2:$C$147,"Board reporting")</f>
        <v>8</v>
      </c>
      <c r="D49" s="37" t="n">
        <f aca="false">COUNTIFS(Requirements!$C$2:$C$147,"Board reporting",Requirements!$H$2:$H$147,"Met")</f>
        <v>0</v>
      </c>
      <c r="E49" s="37" t="n">
        <f aca="false">COUNTIFS(Requirements!$C$2:$C$147,"Board reporting",Requirements!$H$2:$H$147,"Partly met")</f>
        <v>0</v>
      </c>
      <c r="F49" s="37" t="n">
        <f aca="false">COUNTIFS(Requirements!$C$2:$C$147,"Board reporting",Requirements!$H$2:$H$147,"Not met")</f>
        <v>0</v>
      </c>
    </row>
    <row r="50" customFormat="false" ht="15" hidden="false" customHeight="false" outlineLevel="0" collapsed="false">
      <c r="B50" s="36" t="s">
        <v>420</v>
      </c>
      <c r="C50" s="37" t="n">
        <f aca="false">COUNTIF(Requirements!$C$2:$C$147,"Board reporting metrics")</f>
        <v>12</v>
      </c>
      <c r="D50" s="37" t="n">
        <f aca="false">COUNTIFS(Requirements!$C$2:$C$147,"Board reporting metrics",Requirements!$H$2:$H$147,"Met")</f>
        <v>0</v>
      </c>
      <c r="E50" s="37" t="n">
        <f aca="false">COUNTIFS(Requirements!$C$2:$C$147,"Board reporting metrics",Requirements!$H$2:$H$147,"Partly met")</f>
        <v>0</v>
      </c>
      <c r="F50" s="37" t="n">
        <f aca="false">COUNTIFS(Requirements!$C$2:$C$147,"Board reporting metrics",Requirements!$H$2:$H$147,"Not met")</f>
        <v>0</v>
      </c>
    </row>
    <row r="51" customFormat="false" ht="15" hidden="false" customHeight="false" outlineLevel="0" collapsed="false">
      <c r="B51" s="36" t="s">
        <v>446</v>
      </c>
      <c r="C51" s="37" t="n">
        <f aca="false">COUNTIF(Requirements!$C$2:$C$147,"Cyber resilience principles")</f>
        <v>2</v>
      </c>
      <c r="D51" s="37" t="n">
        <f aca="false">COUNTIFS(Requirements!$C$2:$C$147,"Cyber resilience principles",Requirements!$H$2:$H$147,"Met")</f>
        <v>0</v>
      </c>
      <c r="E51" s="37" t="n">
        <f aca="false">COUNTIFS(Requirements!$C$2:$C$147,"Cyber resilience principles",Requirements!$H$2:$H$147,"Partly met")</f>
        <v>0</v>
      </c>
      <c r="F51" s="37" t="n">
        <f aca="false">COUNTIFS(Requirements!$C$2:$C$147,"Cyber resilience principles",Requirements!$H$2:$H$147,"Not met")</f>
        <v>0</v>
      </c>
    </row>
    <row r="52" customFormat="false" ht="15" hidden="false" customHeight="false" outlineLevel="0" collapsed="false">
      <c r="B52" s="36" t="s">
        <v>450</v>
      </c>
      <c r="C52" s="37" t="n">
        <f aca="false">COUNTIF(Requirements!$C$2:$C$147,"Culture")</f>
        <v>9</v>
      </c>
      <c r="D52" s="37" t="n">
        <f aca="false">COUNTIFS(Requirements!$C$2:$C$147,"Culture",Requirements!$H$2:$H$147,"Met")</f>
        <v>0</v>
      </c>
      <c r="E52" s="37" t="n">
        <f aca="false">COUNTIFS(Requirements!$C$2:$C$147,"Culture",Requirements!$H$2:$H$147,"Partly met")</f>
        <v>0</v>
      </c>
      <c r="F52" s="37" t="n">
        <f aca="false">COUNTIFS(Requirements!$C$2:$C$147,"Culture",Requirements!$H$2:$H$147,"Not met")</f>
        <v>0</v>
      </c>
    </row>
    <row r="53" customFormat="false" ht="15" hidden="false" customHeight="false" outlineLevel="0" collapsed="false">
      <c r="B53" s="36" t="s">
        <v>478</v>
      </c>
      <c r="C53" s="37" t="n">
        <f aca="false">COUNTIF(Requirements!$C$2:$C$147,"Access control")</f>
        <v>2</v>
      </c>
      <c r="D53" s="37" t="n">
        <f aca="false">COUNTIFS(Requirements!$C$2:$C$147,"Access control",Requirements!$H$2:$H$147,"Met")</f>
        <v>0</v>
      </c>
      <c r="E53" s="37" t="n">
        <f aca="false">COUNTIFS(Requirements!$C$2:$C$147,"Access control",Requirements!$H$2:$H$147,"Partly met")</f>
        <v>0</v>
      </c>
      <c r="F53" s="37" t="n">
        <f aca="false">COUNTIFS(Requirements!$C$2:$C$147,"Access control",Requirements!$H$2:$H$147,"Not met")</f>
        <v>0</v>
      </c>
    </row>
    <row r="54" customFormat="false" ht="15" hidden="false" customHeight="false" outlineLevel="0" collapsed="false">
      <c r="B54" s="36" t="s">
        <v>488</v>
      </c>
      <c r="C54" s="37" t="n">
        <f aca="false">COUNTIF(Requirements!$C$2:$C$147,"Cyber hygiene")</f>
        <v>14</v>
      </c>
      <c r="D54" s="37" t="n">
        <f aca="false">COUNTIFS(Requirements!$C$2:$C$147,"Cyber hygiene",Requirements!$H$2:$H$147,"Met")</f>
        <v>0</v>
      </c>
      <c r="E54" s="37" t="n">
        <f aca="false">COUNTIFS(Requirements!$C$2:$C$147,"Cyber hygiene",Requirements!$H$2:$H$147,"Partly met")</f>
        <v>0</v>
      </c>
      <c r="F54" s="37" t="n">
        <f aca="false">COUNTIFS(Requirements!$C$2:$C$147,"Cyber hygiene",Requirements!$H$2:$H$147,"Not met")</f>
        <v>0</v>
      </c>
    </row>
    <row r="56" customFormat="false" ht="15" hidden="false" customHeight="false" outlineLevel="0" collapsed="false">
      <c r="B56" s="6" t="s">
        <v>678</v>
      </c>
    </row>
    <row r="57" customFormat="false" ht="15" hidden="false" customHeight="false" outlineLevel="0" collapsed="false">
      <c r="B57" s="36" t="s">
        <v>679</v>
      </c>
      <c r="C57" s="37" t="n">
        <f aca="false">COUNTA('Board Questions'!$C$2:$C$61)</f>
        <v>60</v>
      </c>
    </row>
    <row r="58" customFormat="false" ht="15" hidden="false" customHeight="false" outlineLevel="0" collapsed="false">
      <c r="B58" s="36" t="s">
        <v>680</v>
      </c>
      <c r="C58" s="37" t="n">
        <f aca="false">COUNTIF('Board Questions'!$D$2:$D$61,"Yes")</f>
        <v>0</v>
      </c>
    </row>
    <row r="59" customFormat="false" ht="15" hidden="false" customHeight="false" outlineLevel="0" collapsed="false">
      <c r="B59" s="36" t="s">
        <v>681</v>
      </c>
      <c r="C59" s="37" t="n">
        <f aca="false">COUNTIF('Board Questions'!$D$2:$D$61,"Partly")</f>
        <v>0</v>
      </c>
    </row>
    <row r="60" customFormat="false" ht="15" hidden="false" customHeight="false" outlineLevel="0" collapsed="false">
      <c r="B60" s="36" t="s">
        <v>682</v>
      </c>
      <c r="C60" s="37" t="n">
        <f aca="false">COUNTIF('Board Questions'!$D$2:$D$61,"No")</f>
        <v>0</v>
      </c>
    </row>
    <row r="61" customFormat="false" ht="15" hidden="false" customHeight="false" outlineLevel="0" collapsed="false">
      <c r="B61" s="36" t="s">
        <v>683</v>
      </c>
      <c r="C61" s="37" t="n">
        <f aca="false">COUNTIF('Board Questions'!$D$2:$D$61,"Don't know")</f>
        <v>0</v>
      </c>
    </row>
    <row r="62" customFormat="false" ht="15" hidden="false" customHeight="false" outlineLevel="0" collapsed="false">
      <c r="B62" s="36" t="s">
        <v>684</v>
      </c>
      <c r="C62" s="37" t="n">
        <f aca="false">COUNTA('Board Questions'!$C$2:$C$61)-COUNTA('Board Questions'!$D$2:$D$61)</f>
        <v>60</v>
      </c>
    </row>
  </sheetData>
  <mergeCells count="1">
    <mergeCell ref="B19:F19"/>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2026-10-16T12:00:00Z</dcterms:created>
  <dc:creator>RootGuard Security</dc:creator>
  <dc:description>BOJ Cyber Risk Self-Assessment. Every requirement in the Bank of Jamaica's cyber risk standard, and the evidence that would show it is met. Free to use and to share.</dc:description>
  <dc:language>en-US</dc:language>
  <cp:lastModifiedBy>RootGuard Security</cp:lastModifiedBy>
  <dcterms:modified xsi:type="dcterms:W3CDTF">2026-10-16T17:52:32Z</dcterms:modified>
  <cp:revision>0</cp:revision>
  <dc:subject>FRM-BOJ-001</dc:subject>
  <dc:title>BOJ Cyber Risk Self-Assessment</dc:title>
</cp:coreProperties>
</file>

<file path=docProps/custom.xml><?xml version="1.0" encoding="utf-8"?>
<Properties xmlns="http://schemas.openxmlformats.org/officeDocument/2006/custom-properties" xmlns:vt="http://schemas.openxmlformats.org/officeDocument/2006/docPropsVTypes"/>
</file>